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erf/Desktop/Archery sound/"/>
    </mc:Choice>
  </mc:AlternateContent>
  <xr:revisionPtr revIDLastSave="0" documentId="13_ncr:1_{1207701B-066E-B640-969A-502FDDE93295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Projet - Campagne" sheetId="1" r:id="rId1"/>
    <sheet name="Règl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 a="1"/>
  <c r="T7" i="1" s="1"/>
  <c r="T8" i="1" a="1"/>
  <c r="T8" i="1" s="1"/>
  <c r="T9" i="1" a="1"/>
  <c r="T9" i="1"/>
  <c r="T10" i="1" a="1"/>
  <c r="T10" i="1"/>
  <c r="T11" i="1" a="1"/>
  <c r="T11" i="1" s="1"/>
  <c r="T12" i="1" a="1"/>
  <c r="T12" i="1" s="1"/>
  <c r="T13" i="1" a="1"/>
  <c r="T13" i="1" s="1"/>
  <c r="T14" i="1" a="1"/>
  <c r="T14" i="1"/>
  <c r="T15" i="1" a="1"/>
  <c r="T15" i="1" s="1"/>
  <c r="T16" i="1" a="1"/>
  <c r="T16" i="1" s="1"/>
  <c r="T17" i="1" a="1"/>
  <c r="T17" i="1"/>
  <c r="T18" i="1" a="1"/>
  <c r="T18" i="1" s="1"/>
  <c r="T19" i="1" a="1"/>
  <c r="T19" i="1" s="1"/>
  <c r="T20" i="1" a="1"/>
  <c r="T20" i="1" s="1"/>
  <c r="T21" i="1" a="1"/>
  <c r="T21" i="1"/>
  <c r="T22" i="1" a="1"/>
  <c r="T22" i="1"/>
  <c r="T23" i="1" a="1"/>
  <c r="T23" i="1" s="1"/>
  <c r="T24" i="1" a="1"/>
  <c r="T24" i="1" s="1"/>
  <c r="T25" i="1" a="1"/>
  <c r="T25" i="1"/>
  <c r="T26" i="1" a="1"/>
  <c r="T26" i="1"/>
  <c r="T27" i="1" a="1"/>
  <c r="T27" i="1" s="1"/>
  <c r="T28" i="1" a="1"/>
  <c r="T28" i="1" s="1"/>
  <c r="T29" i="1" a="1"/>
  <c r="T29" i="1" s="1"/>
  <c r="T6" i="1" a="1"/>
  <c r="T6" i="1" s="1"/>
  <c r="S7" i="1" a="1"/>
  <c r="S7" i="1" s="1"/>
  <c r="S8" i="1" a="1"/>
  <c r="S8" i="1" s="1"/>
  <c r="S9" i="1" a="1"/>
  <c r="S9" i="1" s="1"/>
  <c r="S10" i="1" a="1"/>
  <c r="S10" i="1" s="1"/>
  <c r="S11" i="1" a="1"/>
  <c r="S11" i="1" s="1"/>
  <c r="S12" i="1" a="1"/>
  <c r="S12" i="1"/>
  <c r="S13" i="1" a="1"/>
  <c r="S13" i="1" s="1"/>
  <c r="S14" i="1" a="1"/>
  <c r="S14" i="1" s="1"/>
  <c r="S15" i="1" a="1"/>
  <c r="S15" i="1" s="1"/>
  <c r="S16" i="1" a="1"/>
  <c r="S16" i="1"/>
  <c r="S17" i="1" a="1"/>
  <c r="S17" i="1" s="1"/>
  <c r="S18" i="1" a="1"/>
  <c r="S18" i="1" s="1"/>
  <c r="S19" i="1" a="1"/>
  <c r="S19" i="1" s="1"/>
  <c r="S20" i="1" a="1"/>
  <c r="S20" i="1" s="1"/>
  <c r="S21" i="1" a="1"/>
  <c r="S21" i="1" s="1"/>
  <c r="S22" i="1" a="1"/>
  <c r="S22" i="1" s="1"/>
  <c r="S23" i="1" a="1"/>
  <c r="S23" i="1"/>
  <c r="S24" i="1" a="1"/>
  <c r="S24" i="1" s="1"/>
  <c r="S25" i="1" a="1"/>
  <c r="S25" i="1" s="1"/>
  <c r="S26" i="1" a="1"/>
  <c r="S26" i="1" s="1"/>
  <c r="S27" i="1" a="1"/>
  <c r="S27" i="1" s="1"/>
  <c r="S28" i="1" a="1"/>
  <c r="S28" i="1" s="1"/>
  <c r="S29" i="1" a="1"/>
  <c r="S29" i="1" s="1"/>
  <c r="S6" i="1" a="1"/>
  <c r="S6" i="1" s="1"/>
  <c r="R7" i="1" a="1"/>
  <c r="R7" i="1" s="1"/>
  <c r="R8" i="1" a="1"/>
  <c r="R8" i="1" s="1"/>
  <c r="R9" i="1" a="1"/>
  <c r="R9" i="1" s="1"/>
  <c r="R10" i="1" a="1"/>
  <c r="R10" i="1" s="1"/>
  <c r="R11" i="1" a="1"/>
  <c r="R11" i="1" s="1"/>
  <c r="R12" i="1" a="1"/>
  <c r="R12" i="1" s="1"/>
  <c r="R13" i="1" a="1"/>
  <c r="R13" i="1" s="1"/>
  <c r="R14" i="1" a="1"/>
  <c r="R14" i="1" s="1"/>
  <c r="R15" i="1" a="1"/>
  <c r="R15" i="1" s="1"/>
  <c r="R16" i="1" a="1"/>
  <c r="R16" i="1" s="1"/>
  <c r="R17" i="1" a="1"/>
  <c r="R17" i="1" s="1"/>
  <c r="R18" i="1" a="1"/>
  <c r="R18" i="1" s="1"/>
  <c r="R19" i="1" a="1"/>
  <c r="R19" i="1" s="1"/>
  <c r="R20" i="1" a="1"/>
  <c r="R20" i="1" s="1"/>
  <c r="R21" i="1" a="1"/>
  <c r="R21" i="1" s="1"/>
  <c r="R22" i="1" a="1"/>
  <c r="R22" i="1" s="1"/>
  <c r="R23" i="1" a="1"/>
  <c r="R23" i="1" s="1"/>
  <c r="R24" i="1" a="1"/>
  <c r="R24" i="1" s="1"/>
  <c r="R25" i="1" a="1"/>
  <c r="R25" i="1" s="1"/>
  <c r="R26" i="1" a="1"/>
  <c r="R26" i="1" s="1"/>
  <c r="R27" i="1" a="1"/>
  <c r="R27" i="1"/>
  <c r="R28" i="1" a="1"/>
  <c r="R28" i="1" s="1"/>
  <c r="R29" i="1" a="1"/>
  <c r="R29" i="1" s="1"/>
  <c r="R6" i="1" a="1"/>
  <c r="R6" i="1" s="1"/>
  <c r="P15" i="1"/>
  <c r="H38" i="1"/>
  <c r="H41" i="1" s="1"/>
  <c r="G38" i="1"/>
  <c r="G40" i="1" s="1"/>
  <c r="F38" i="1"/>
  <c r="F39" i="1" s="1"/>
  <c r="AE8" i="1"/>
  <c r="AE9" i="1"/>
  <c r="AE10" i="1"/>
  <c r="AE11" i="1"/>
  <c r="AE12" i="1"/>
  <c r="AE13" i="1"/>
  <c r="AE14" i="1"/>
  <c r="AE15" i="1"/>
  <c r="AE16" i="1"/>
  <c r="T5" i="1" s="1" a="1"/>
  <c r="T5" i="1" s="1"/>
  <c r="Z5" i="1" s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5" i="1"/>
  <c r="AE6" i="1"/>
  <c r="AE7" i="1"/>
  <c r="AD5" i="1"/>
  <c r="AD6" i="1"/>
  <c r="AD7" i="1"/>
  <c r="AD8" i="1"/>
  <c r="AC5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7" i="1"/>
  <c r="AC8" i="1"/>
  <c r="AC9" i="1"/>
  <c r="AC10" i="1"/>
  <c r="AC11" i="1"/>
  <c r="AC12" i="1"/>
  <c r="AC13" i="1"/>
  <c r="AC14" i="1"/>
  <c r="AC15" i="1"/>
  <c r="AC16" i="1"/>
  <c r="AC17" i="1"/>
  <c r="AC6" i="1"/>
  <c r="K19" i="1"/>
  <c r="B38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U7" i="1"/>
  <c r="U9" i="1"/>
  <c r="U14" i="1"/>
  <c r="U18" i="1"/>
  <c r="U19" i="1"/>
  <c r="U21" i="1"/>
  <c r="U22" i="1"/>
  <c r="U23" i="1"/>
  <c r="U24" i="1"/>
  <c r="U25" i="1"/>
  <c r="U28" i="1"/>
  <c r="U29" i="1"/>
  <c r="U5" i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B9" i="2"/>
  <c r="H37" i="1"/>
  <c r="F37" i="1"/>
  <c r="G37" i="1"/>
  <c r="D31" i="1"/>
  <c r="K5" i="1" s="1"/>
  <c r="C31" i="1"/>
  <c r="B33" i="1"/>
  <c r="B34" i="1"/>
  <c r="B35" i="1"/>
  <c r="B32" i="1"/>
  <c r="B10" i="2"/>
  <c r="Z14" i="1" l="1"/>
  <c r="Z28" i="1"/>
  <c r="Z29" i="1"/>
  <c r="Z7" i="1"/>
  <c r="Z22" i="1"/>
  <c r="Z21" i="1"/>
  <c r="Z19" i="1"/>
  <c r="X14" i="1"/>
  <c r="X28" i="1"/>
  <c r="X29" i="1"/>
  <c r="X13" i="1"/>
  <c r="X27" i="1"/>
  <c r="Z18" i="1"/>
  <c r="X12" i="1"/>
  <c r="Z25" i="1"/>
  <c r="Z9" i="1"/>
  <c r="X11" i="1"/>
  <c r="X26" i="1"/>
  <c r="Z24" i="1"/>
  <c r="S5" i="1" a="1"/>
  <c r="S5" i="1" s="1"/>
  <c r="X5" i="1" s="1"/>
  <c r="P29" i="1"/>
  <c r="Q29" i="1" s="1"/>
  <c r="P25" i="1"/>
  <c r="Q25" i="1" s="1"/>
  <c r="L19" i="1"/>
  <c r="M28" i="1"/>
  <c r="O25" i="1"/>
  <c r="K23" i="1"/>
  <c r="M20" i="1"/>
  <c r="K15" i="1"/>
  <c r="M12" i="1"/>
  <c r="O9" i="1"/>
  <c r="K6" i="1"/>
  <c r="N29" i="1"/>
  <c r="L24" i="1"/>
  <c r="P14" i="1"/>
  <c r="Q14" i="1" s="1"/>
  <c r="M7" i="1"/>
  <c r="P27" i="1"/>
  <c r="Q27" i="1" s="1"/>
  <c r="L25" i="1"/>
  <c r="L21" i="1"/>
  <c r="N18" i="1"/>
  <c r="Q15" i="1"/>
  <c r="N14" i="1"/>
  <c r="L13" i="1"/>
  <c r="P11" i="1"/>
  <c r="Q11" i="1" s="1"/>
  <c r="N10" i="1"/>
  <c r="P6" i="1"/>
  <c r="Q6" i="1" s="1"/>
  <c r="N5" i="1"/>
  <c r="L27" i="1"/>
  <c r="L23" i="1"/>
  <c r="N16" i="1"/>
  <c r="O29" i="1"/>
  <c r="M24" i="1"/>
  <c r="O17" i="1"/>
  <c r="U17" i="1" s="1"/>
  <c r="K7" i="1"/>
  <c r="L28" i="1"/>
  <c r="P22" i="1"/>
  <c r="Q22" i="1" s="1"/>
  <c r="N17" i="1"/>
  <c r="P10" i="1"/>
  <c r="Q10" i="1" s="1"/>
  <c r="K28" i="1"/>
  <c r="M25" i="1"/>
  <c r="M21" i="1"/>
  <c r="M17" i="1"/>
  <c r="K8" i="1"/>
  <c r="N7" i="1"/>
  <c r="K29" i="1"/>
  <c r="O27" i="1"/>
  <c r="M26" i="1"/>
  <c r="K25" i="1"/>
  <c r="O23" i="1"/>
  <c r="Z23" i="1" s="1"/>
  <c r="M22" i="1"/>
  <c r="K21" i="1"/>
  <c r="O19" i="1"/>
  <c r="M18" i="1"/>
  <c r="K17" i="1"/>
  <c r="O15" i="1"/>
  <c r="U15" i="1" s="1"/>
  <c r="M14" i="1"/>
  <c r="K13" i="1"/>
  <c r="O11" i="1"/>
  <c r="M10" i="1"/>
  <c r="K9" i="1"/>
  <c r="O6" i="1"/>
  <c r="M5" i="1"/>
  <c r="N28" i="1"/>
  <c r="N24" i="1"/>
  <c r="P21" i="1"/>
  <c r="Q21" i="1" s="1"/>
  <c r="N20" i="1"/>
  <c r="P17" i="1"/>
  <c r="Q17" i="1" s="1"/>
  <c r="L15" i="1"/>
  <c r="P13" i="1"/>
  <c r="Q13" i="1" s="1"/>
  <c r="N12" i="1"/>
  <c r="L11" i="1"/>
  <c r="P9" i="1"/>
  <c r="Q9" i="1" s="1"/>
  <c r="N8" i="1"/>
  <c r="L6" i="1"/>
  <c r="K27" i="1"/>
  <c r="O21" i="1"/>
  <c r="M16" i="1"/>
  <c r="O13" i="1"/>
  <c r="U13" i="1" s="1"/>
  <c r="Z13" i="1" s="1"/>
  <c r="K11" i="1"/>
  <c r="M8" i="1"/>
  <c r="P26" i="1"/>
  <c r="Q26" i="1" s="1"/>
  <c r="N21" i="1"/>
  <c r="P18" i="1"/>
  <c r="Q18" i="1" s="1"/>
  <c r="N13" i="1"/>
  <c r="L12" i="1"/>
  <c r="L8" i="1"/>
  <c r="P5" i="1"/>
  <c r="Q5" i="1" s="1"/>
  <c r="L7" i="1"/>
  <c r="K24" i="1"/>
  <c r="K20" i="1"/>
  <c r="K16" i="1"/>
  <c r="M13" i="1"/>
  <c r="K12" i="1"/>
  <c r="O10" i="1"/>
  <c r="M9" i="1"/>
  <c r="L29" i="1"/>
  <c r="N26" i="1"/>
  <c r="P23" i="1"/>
  <c r="Q23" i="1" s="1"/>
  <c r="N22" i="1"/>
  <c r="P19" i="1"/>
  <c r="Q19" i="1" s="1"/>
  <c r="L17" i="1"/>
  <c r="L9" i="1"/>
  <c r="O7" i="1"/>
  <c r="P28" i="1"/>
  <c r="Q28" i="1" s="1"/>
  <c r="N27" i="1"/>
  <c r="L26" i="1"/>
  <c r="P24" i="1"/>
  <c r="Q24" i="1" s="1"/>
  <c r="N23" i="1"/>
  <c r="L22" i="1"/>
  <c r="P20" i="1"/>
  <c r="Q20" i="1" s="1"/>
  <c r="N19" i="1"/>
  <c r="L18" i="1"/>
  <c r="P16" i="1"/>
  <c r="Q16" i="1" s="1"/>
  <c r="N15" i="1"/>
  <c r="L14" i="1"/>
  <c r="P12" i="1"/>
  <c r="Q12" i="1" s="1"/>
  <c r="N11" i="1"/>
  <c r="L10" i="1"/>
  <c r="P8" i="1"/>
  <c r="Q8" i="1" s="1"/>
  <c r="N6" i="1"/>
  <c r="L5" i="1"/>
  <c r="R5" i="1" s="1" a="1"/>
  <c r="R5" i="1" s="1"/>
  <c r="N25" i="1"/>
  <c r="L20" i="1"/>
  <c r="L16" i="1"/>
  <c r="N9" i="1"/>
  <c r="M29" i="1"/>
  <c r="O26" i="1"/>
  <c r="U26" i="1" s="1"/>
  <c r="Z26" i="1" s="1"/>
  <c r="O22" i="1"/>
  <c r="O18" i="1"/>
  <c r="O14" i="1"/>
  <c r="O5" i="1"/>
  <c r="P7" i="1"/>
  <c r="Q7" i="1" s="1"/>
  <c r="O28" i="1"/>
  <c r="M27" i="1"/>
  <c r="K26" i="1"/>
  <c r="O24" i="1"/>
  <c r="M23" i="1"/>
  <c r="K22" i="1"/>
  <c r="O20" i="1"/>
  <c r="U20" i="1" s="1"/>
  <c r="M19" i="1"/>
  <c r="K18" i="1"/>
  <c r="O16" i="1"/>
  <c r="M15" i="1"/>
  <c r="K14" i="1"/>
  <c r="O12" i="1"/>
  <c r="U12" i="1" s="1"/>
  <c r="Z12" i="1" s="1"/>
  <c r="M11" i="1"/>
  <c r="K10" i="1"/>
  <c r="O8" i="1"/>
  <c r="U8" i="1" s="1"/>
  <c r="M6" i="1"/>
  <c r="E41" i="1"/>
  <c r="D41" i="1"/>
  <c r="E40" i="1"/>
  <c r="D40" i="1"/>
  <c r="A33" i="1"/>
  <c r="A34" i="1"/>
  <c r="A35" i="1"/>
  <c r="A32" i="1"/>
  <c r="E39" i="1"/>
  <c r="D39" i="1"/>
  <c r="X19" i="1" l="1"/>
  <c r="X21" i="1"/>
  <c r="X7" i="1"/>
  <c r="X16" i="1"/>
  <c r="X25" i="1"/>
  <c r="X17" i="1"/>
  <c r="Z20" i="1"/>
  <c r="Z17" i="1"/>
  <c r="Z8" i="1"/>
  <c r="Z15" i="1"/>
  <c r="Z16" i="1"/>
  <c r="V7" i="1"/>
  <c r="X20" i="1"/>
  <c r="X24" i="1"/>
  <c r="X10" i="1"/>
  <c r="X23" i="1"/>
  <c r="X6" i="1"/>
  <c r="V22" i="1"/>
  <c r="X22" i="1"/>
  <c r="X9" i="1"/>
  <c r="X18" i="1"/>
  <c r="X15" i="1"/>
  <c r="X8" i="1"/>
  <c r="V9" i="1"/>
  <c r="V6" i="1"/>
  <c r="V25" i="1"/>
  <c r="V15" i="1"/>
  <c r="V26" i="1"/>
  <c r="V18" i="1"/>
  <c r="V8" i="1"/>
  <c r="V16" i="1"/>
  <c r="V23" i="1"/>
  <c r="V14" i="1"/>
  <c r="V17" i="1"/>
  <c r="V28" i="1"/>
  <c r="V19" i="1"/>
  <c r="V20" i="1"/>
  <c r="V5" i="1"/>
  <c r="V24" i="1"/>
  <c r="V13" i="1"/>
  <c r="V21" i="1"/>
  <c r="V27" i="1"/>
  <c r="V29" i="1"/>
  <c r="V10" i="1"/>
  <c r="V11" i="1"/>
  <c r="V12" i="1"/>
  <c r="U11" i="1"/>
  <c r="Z11" i="1" s="1"/>
  <c r="U16" i="1"/>
  <c r="U27" i="1"/>
  <c r="Z27" i="1" s="1"/>
  <c r="U10" i="1"/>
  <c r="Z10" i="1" s="1"/>
  <c r="U6" i="1"/>
  <c r="Z6" i="1" s="1"/>
  <c r="H35" i="1"/>
  <c r="F35" i="1"/>
  <c r="G35" i="1"/>
  <c r="H34" i="1"/>
  <c r="F34" i="1"/>
  <c r="G34" i="1"/>
  <c r="F33" i="1"/>
  <c r="H33" i="1"/>
  <c r="G33" i="1"/>
  <c r="F32" i="1"/>
  <c r="H32" i="1"/>
  <c r="G32" i="1"/>
  <c r="D33" i="1"/>
  <c r="C33" i="1"/>
  <c r="D32" i="1"/>
  <c r="C32" i="1"/>
  <c r="D35" i="1"/>
  <c r="C35" i="1"/>
  <c r="C34" i="1"/>
  <c r="D34" i="1"/>
  <c r="B36" i="1"/>
  <c r="E32" i="1" l="1"/>
  <c r="E33" i="1"/>
  <c r="E35" i="1"/>
  <c r="D36" i="1"/>
  <c r="E34" i="1"/>
  <c r="C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<sst xmlns="http://schemas.openxmlformats.org/spreadsheetml/2006/main" count="108" uniqueCount="54">
  <si>
    <t>Lieu - date - numéro projet</t>
  </si>
  <si>
    <t>Rouge</t>
  </si>
  <si>
    <t>Bleu</t>
  </si>
  <si>
    <t>Blanc</t>
  </si>
  <si>
    <t>Num Cible</t>
  </si>
  <si>
    <t>mini</t>
  </si>
  <si>
    <t>maxi</t>
  </si>
  <si>
    <t>Près du greffe</t>
  </si>
  <si>
    <t>Total</t>
  </si>
  <si>
    <t>Contrôle Nb</t>
  </si>
  <si>
    <t>Mini</t>
  </si>
  <si>
    <t>Maxi</t>
  </si>
  <si>
    <t>Total distance</t>
  </si>
  <si>
    <t>officiel</t>
  </si>
  <si>
    <t>Saisie Distances parcours</t>
  </si>
  <si>
    <t>Nb réglementaire répartition par type</t>
  </si>
  <si>
    <t>Moyenne</t>
  </si>
  <si>
    <t>Choix du
type de cible
(liste)</t>
  </si>
  <si>
    <t>Saisie libre des informations
de Localisation</t>
  </si>
  <si>
    <r>
      <t xml:space="preserve">Contrôle Distances
</t>
    </r>
    <r>
      <rPr>
        <b/>
        <sz val="10"/>
        <color rgb="FF0F1BFF"/>
        <rFont val="Calibri"/>
        <family val="2"/>
      </rPr>
      <t>inter-piquets</t>
    </r>
  </si>
  <si>
    <r>
      <t xml:space="preserve">Contrôle saisies
</t>
    </r>
    <r>
      <rPr>
        <b/>
        <sz val="10"/>
        <color rgb="FF0F1BFF"/>
        <rFont val="Calibri"/>
        <family val="2"/>
      </rPr>
      <t>distances des piquets</t>
    </r>
  </si>
  <si>
    <t>Exemple</t>
  </si>
  <si>
    <t>Campagne - 24 cibles</t>
  </si>
  <si>
    <t>Inconnues</t>
  </si>
  <si>
    <t>Connues</t>
  </si>
  <si>
    <t>Cibles</t>
  </si>
  <si>
    <t>4 cibles de 40 cm</t>
  </si>
  <si>
    <t>4 trispots 20 cm</t>
  </si>
  <si>
    <t>1 cible de 60 cm</t>
  </si>
  <si>
    <t>1 cible de 80 cm</t>
  </si>
  <si>
    <t>Tableau Règles Campagne</t>
  </si>
  <si>
    <t>Distance connue ou inconnue ?</t>
  </si>
  <si>
    <r>
      <t xml:space="preserve">Rappel </t>
    </r>
    <r>
      <rPr>
        <b/>
        <sz val="10"/>
        <color rgb="FF0F1BFF"/>
        <rFont val="Calibri"/>
        <family val="2"/>
      </rPr>
      <t>distances</t>
    </r>
    <r>
      <rPr>
        <sz val="10"/>
        <color indexed="9"/>
        <rFont val="Calibri"/>
        <family val="2"/>
      </rPr>
      <t xml:space="preserve">
de la  sélection</t>
    </r>
  </si>
  <si>
    <t>OUI</t>
  </si>
  <si>
    <t>Total cibles</t>
  </si>
  <si>
    <t>Utiliser la tolérance 2m pour les connues ? OUI ou NON -&gt;</t>
  </si>
  <si>
    <t>Tolérance Connues</t>
  </si>
  <si>
    <t>INFO : Tolérance ≤15m</t>
  </si>
  <si>
    <t>INFO : Tolérance &gt;15m</t>
  </si>
  <si>
    <t>mètres</t>
  </si>
  <si>
    <t>∑</t>
  </si>
  <si>
    <t>Fourchette réglementaire inconnues piquet Rouge</t>
  </si>
  <si>
    <t>Fourchette réglementaire inconnues piquet Bleu</t>
  </si>
  <si>
    <t>Orange</t>
  </si>
  <si>
    <t>Pas
Orange</t>
  </si>
  <si>
    <t>Pas
orange</t>
  </si>
  <si>
    <t>Pas
Rouge</t>
  </si>
  <si>
    <t>Pas
Blanc</t>
  </si>
  <si>
    <t>Pas
bleu</t>
  </si>
  <si>
    <t>Fourchette réglementaire inconnues piquet Blanc</t>
  </si>
  <si>
    <t xml:space="preserve">Tolérance 2m : </t>
  </si>
  <si>
    <t>NON</t>
  </si>
  <si>
    <t>Contrôle
U13</t>
  </si>
  <si>
    <t>Ò‡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</si>
</sst>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color indexed="8"/>
      <name val="Helvetica Neue"/>
    </font>
    <font>
      <sz val="12"/>
      <color indexed="8"/>
      <name val="Helvetica Neue"/>
      <family val="2"/>
    </font>
    <font>
      <sz val="10"/>
      <color indexed="9"/>
      <name val="Calibri"/>
      <family val="2"/>
    </font>
    <font>
      <b/>
      <sz val="10"/>
      <color indexed="13"/>
      <name val="Calibri"/>
      <family val="2"/>
    </font>
    <font>
      <b/>
      <sz val="10"/>
      <color indexed="9"/>
      <name val="Calibri"/>
      <family val="2"/>
    </font>
    <font>
      <sz val="10"/>
      <color indexed="13"/>
      <name val="Calibri"/>
      <family val="2"/>
    </font>
    <font>
      <sz val="10"/>
      <color indexed="8"/>
      <name val="Calibri"/>
      <family val="2"/>
    </font>
    <font>
      <b/>
      <sz val="10"/>
      <color indexed="13"/>
      <name val="Helvetica Neue"/>
      <family val="2"/>
    </font>
    <font>
      <sz val="8"/>
      <color indexed="8"/>
      <name val="Calibri"/>
      <family val="2"/>
    </font>
    <font>
      <sz val="9"/>
      <color indexed="9"/>
      <name val="Geneva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sz val="9"/>
      <color indexed="8"/>
      <name val="Geneva"/>
      <family val="2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b/>
      <sz val="10"/>
      <color rgb="FFC00000"/>
      <name val="Helvetica Neue"/>
      <family val="2"/>
    </font>
    <font>
      <b/>
      <sz val="10"/>
      <color theme="1"/>
      <name val="Helvetica Neue"/>
      <family val="2"/>
    </font>
    <font>
      <b/>
      <sz val="10"/>
      <color theme="1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Helvetica Neue"/>
      <family val="2"/>
    </font>
    <font>
      <b/>
      <sz val="9"/>
      <color indexed="8"/>
      <name val="Calibri"/>
      <family val="2"/>
    </font>
    <font>
      <b/>
      <sz val="10"/>
      <color rgb="FF0F1BFF"/>
      <name val="Calibri"/>
      <family val="2"/>
    </font>
    <font>
      <i/>
      <sz val="10"/>
      <color theme="0"/>
      <name val="Helv"/>
    </font>
    <font>
      <b/>
      <sz val="9"/>
      <color rgb="FFFF0000"/>
      <name val="Geneva"/>
      <family val="2"/>
    </font>
    <font>
      <b/>
      <sz val="12"/>
      <color indexed="8"/>
      <name val="Helvetica Neue"/>
      <family val="2"/>
    </font>
    <font>
      <b/>
      <sz val="10"/>
      <color indexed="8"/>
      <name val="Calibri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8"/>
      <color theme="1"/>
      <name val="Calibri"/>
      <family val="2"/>
    </font>
    <font>
      <sz val="10"/>
      <color theme="0"/>
      <name val="Helvetica Neue"/>
      <family val="2"/>
    </font>
    <font>
      <b/>
      <sz val="10"/>
      <color rgb="FF945200"/>
      <name val="Helvetica Neue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1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5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thin">
        <color indexed="15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medium">
        <color indexed="64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11"/>
      </top>
      <bottom/>
      <diagonal/>
    </border>
    <border>
      <left/>
      <right style="medium">
        <color indexed="64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15"/>
      </bottom>
      <diagonal/>
    </border>
    <border>
      <left/>
      <right style="medium">
        <color indexed="64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/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1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5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1" fillId="0" borderId="1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NumberFormat="1" applyBorder="1">
      <alignment vertical="top" wrapText="1"/>
    </xf>
    <xf numFmtId="0" fontId="12" fillId="11" borderId="2" xfId="0" applyFont="1" applyFill="1" applyBorder="1" applyAlignment="1">
      <alignment horizontal="center" vertical="center"/>
    </xf>
    <xf numFmtId="1" fontId="7" fillId="9" borderId="9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7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1" fillId="8" borderId="2" xfId="0" applyNumberFormat="1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11" fillId="8" borderId="3" xfId="0" applyNumberFormat="1" applyFont="1" applyFill="1" applyBorder="1" applyAlignment="1">
      <alignment horizontal="center" vertical="center"/>
    </xf>
    <xf numFmtId="0" fontId="0" fillId="0" borderId="23" xfId="0" applyNumberFormat="1" applyBorder="1">
      <alignment vertical="top" wrapText="1"/>
    </xf>
    <xf numFmtId="0" fontId="0" fillId="0" borderId="24" xfId="0" applyNumberFormat="1" applyBorder="1">
      <alignment vertical="top" wrapText="1"/>
    </xf>
    <xf numFmtId="0" fontId="11" fillId="8" borderId="45" xfId="0" applyNumberFormat="1" applyFont="1" applyFill="1" applyBorder="1" applyAlignment="1">
      <alignment horizontal="center" vertical="center"/>
    </xf>
    <xf numFmtId="0" fontId="24" fillId="5" borderId="47" xfId="0" applyNumberFormat="1" applyFont="1" applyFill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9" fillId="3" borderId="42" xfId="0" applyNumberFormat="1" applyFont="1" applyFill="1" applyBorder="1" applyAlignment="1">
      <alignment horizontal="center" vertical="center"/>
    </xf>
    <xf numFmtId="49" fontId="9" fillId="3" borderId="41" xfId="0" applyNumberFormat="1" applyFont="1" applyFill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8" borderId="51" xfId="0" applyNumberFormat="1" applyFont="1" applyFill="1" applyBorder="1" applyAlignment="1">
      <alignment horizontal="center" vertical="center"/>
    </xf>
    <xf numFmtId="0" fontId="11" fillId="8" borderId="49" xfId="0" applyNumberFormat="1" applyFont="1" applyFill="1" applyBorder="1" applyAlignment="1">
      <alignment horizontal="center" vertical="center"/>
    </xf>
    <xf numFmtId="0" fontId="11" fillId="9" borderId="49" xfId="0" applyNumberFormat="1" applyFont="1" applyFill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49" fontId="11" fillId="13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horizontal="center" vertical="center"/>
    </xf>
    <xf numFmtId="0" fontId="11" fillId="14" borderId="46" xfId="0" applyNumberFormat="1" applyFont="1" applyFill="1" applyBorder="1" applyAlignment="1">
      <alignment horizontal="center" vertical="center"/>
    </xf>
    <xf numFmtId="0" fontId="11" fillId="14" borderId="2" xfId="0" applyNumberFormat="1" applyFont="1" applyFill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0" fontId="11" fillId="14" borderId="10" xfId="0" applyNumberFormat="1" applyFont="1" applyFill="1" applyBorder="1" applyAlignment="1">
      <alignment horizontal="center" vertical="center"/>
    </xf>
    <xf numFmtId="0" fontId="11" fillId="14" borderId="54" xfId="0" applyNumberFormat="1" applyFont="1" applyFill="1" applyBorder="1" applyAlignment="1">
      <alignment horizontal="center" vertical="center"/>
    </xf>
    <xf numFmtId="0" fontId="11" fillId="14" borderId="58" xfId="0" applyNumberFormat="1" applyFont="1" applyFill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/>
    </xf>
    <xf numFmtId="0" fontId="11" fillId="16" borderId="16" xfId="0" applyNumberFormat="1" applyFont="1" applyFill="1" applyBorder="1" applyAlignment="1">
      <alignment horizontal="center" vertical="center"/>
    </xf>
    <xf numFmtId="0" fontId="11" fillId="8" borderId="30" xfId="0" applyNumberFormat="1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1" fontId="16" fillId="18" borderId="9" xfId="0" applyNumberFormat="1" applyFont="1" applyFill="1" applyBorder="1" applyAlignment="1" applyProtection="1">
      <alignment horizontal="center" vertical="center" wrapText="1"/>
      <protection locked="0"/>
    </xf>
    <xf numFmtId="1" fontId="16" fillId="18" borderId="7" xfId="0" applyNumberFormat="1" applyFont="1" applyFill="1" applyBorder="1" applyAlignment="1" applyProtection="1">
      <alignment horizontal="center" vertical="center" wrapText="1"/>
      <protection locked="0"/>
    </xf>
    <xf numFmtId="1" fontId="16" fillId="18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78" xfId="0" applyNumberFormat="1" applyFont="1" applyBorder="1" applyAlignment="1">
      <alignment horizontal="center" vertical="center"/>
    </xf>
    <xf numFmtId="49" fontId="31" fillId="15" borderId="56" xfId="0" applyNumberFormat="1" applyFont="1" applyFill="1" applyBorder="1" applyAlignment="1">
      <alignment horizontal="center" vertical="center" wrapText="1"/>
    </xf>
    <xf numFmtId="49" fontId="31" fillId="15" borderId="68" xfId="0" applyNumberFormat="1" applyFont="1" applyFill="1" applyBorder="1" applyAlignment="1">
      <alignment horizontal="center" vertical="center" wrapText="1"/>
    </xf>
    <xf numFmtId="0" fontId="11" fillId="14" borderId="41" xfId="0" applyNumberFormat="1" applyFont="1" applyFill="1" applyBorder="1" applyAlignment="1">
      <alignment horizontal="center" vertical="center"/>
    </xf>
    <xf numFmtId="49" fontId="31" fillId="15" borderId="66" xfId="0" applyNumberFormat="1" applyFont="1" applyFill="1" applyBorder="1" applyAlignment="1">
      <alignment horizontal="center" vertical="center" wrapText="1"/>
    </xf>
    <xf numFmtId="0" fontId="11" fillId="8" borderId="79" xfId="0" applyNumberFormat="1" applyFont="1" applyFill="1" applyBorder="1" applyAlignment="1">
      <alignment horizontal="center" vertical="center"/>
    </xf>
    <xf numFmtId="0" fontId="11" fillId="8" borderId="58" xfId="0" applyNumberFormat="1" applyFont="1" applyFill="1" applyBorder="1" applyAlignment="1">
      <alignment horizontal="center" vertical="center"/>
    </xf>
    <xf numFmtId="0" fontId="11" fillId="9" borderId="58" xfId="0" applyNumberFormat="1" applyFont="1" applyFill="1" applyBorder="1" applyAlignment="1">
      <alignment horizontal="center" vertical="center"/>
    </xf>
    <xf numFmtId="0" fontId="11" fillId="14" borderId="80" xfId="0" applyNumberFormat="1" applyFont="1" applyFill="1" applyBorder="1" applyAlignment="1">
      <alignment horizontal="center" vertical="center"/>
    </xf>
    <xf numFmtId="0" fontId="11" fillId="14" borderId="81" xfId="0" applyNumberFormat="1" applyFont="1" applyFill="1" applyBorder="1" applyAlignment="1">
      <alignment horizontal="center" vertical="center"/>
    </xf>
    <xf numFmtId="49" fontId="31" fillId="15" borderId="44" xfId="0" applyNumberFormat="1" applyFont="1" applyFill="1" applyBorder="1" applyAlignment="1">
      <alignment horizontal="center" vertical="center" wrapText="1"/>
    </xf>
    <xf numFmtId="49" fontId="30" fillId="5" borderId="43" xfId="0" applyNumberFormat="1" applyFont="1" applyFill="1" applyBorder="1" applyAlignment="1">
      <alignment horizontal="center" vertical="center" wrapText="1"/>
    </xf>
    <xf numFmtId="49" fontId="30" fillId="5" borderId="44" xfId="0" applyNumberFormat="1" applyFont="1" applyFill="1" applyBorder="1" applyAlignment="1">
      <alignment horizontal="center" vertical="center" wrapText="1"/>
    </xf>
    <xf numFmtId="49" fontId="30" fillId="6" borderId="44" xfId="0" applyNumberFormat="1" applyFont="1" applyFill="1" applyBorder="1" applyAlignment="1">
      <alignment horizontal="center" vertical="center" wrapText="1"/>
    </xf>
    <xf numFmtId="49" fontId="31" fillId="7" borderId="44" xfId="0" applyNumberFormat="1" applyFont="1" applyFill="1" applyBorder="1" applyAlignment="1">
      <alignment horizontal="center" vertical="center" wrapText="1"/>
    </xf>
    <xf numFmtId="0" fontId="11" fillId="18" borderId="2" xfId="0" applyNumberFormat="1" applyFont="1" applyFill="1" applyBorder="1" applyAlignment="1">
      <alignment horizontal="center" vertical="center"/>
    </xf>
    <xf numFmtId="0" fontId="11" fillId="18" borderId="77" xfId="0" applyNumberFormat="1" applyFont="1" applyFill="1" applyBorder="1" applyAlignment="1">
      <alignment horizontal="center" vertical="center"/>
    </xf>
    <xf numFmtId="0" fontId="11" fillId="18" borderId="58" xfId="0" applyNumberFormat="1" applyFont="1" applyFill="1" applyBorder="1" applyAlignment="1">
      <alignment horizontal="center" vertical="center"/>
    </xf>
    <xf numFmtId="0" fontId="11" fillId="18" borderId="53" xfId="0" applyNumberFormat="1" applyFont="1" applyFill="1" applyBorder="1" applyAlignment="1">
      <alignment horizontal="center" vertical="center"/>
    </xf>
    <xf numFmtId="0" fontId="11" fillId="18" borderId="41" xfId="0" applyNumberFormat="1" applyFont="1" applyFill="1" applyBorder="1" applyAlignment="1">
      <alignment horizontal="center" vertical="center"/>
    </xf>
    <xf numFmtId="0" fontId="11" fillId="18" borderId="80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>
      <alignment vertical="top" wrapText="1"/>
    </xf>
    <xf numFmtId="49" fontId="5" fillId="0" borderId="86" xfId="0" applyNumberFormat="1" applyFont="1" applyBorder="1" applyAlignment="1" applyProtection="1">
      <alignment horizontal="center" vertical="center" wrapText="1"/>
      <protection locked="0"/>
    </xf>
    <xf numFmtId="49" fontId="5" fillId="0" borderId="87" xfId="0" applyNumberFormat="1" applyFont="1" applyBorder="1" applyAlignment="1" applyProtection="1">
      <alignment horizontal="center" vertical="center" wrapText="1"/>
      <protection locked="0"/>
    </xf>
    <xf numFmtId="49" fontId="5" fillId="0" borderId="88" xfId="0" applyNumberFormat="1" applyFont="1" applyBorder="1" applyAlignment="1" applyProtection="1">
      <alignment horizontal="center" vertical="center" wrapText="1"/>
      <protection locked="0"/>
    </xf>
    <xf numFmtId="1" fontId="15" fillId="8" borderId="9" xfId="0" applyNumberFormat="1" applyFont="1" applyFill="1" applyBorder="1" applyAlignment="1" applyProtection="1">
      <alignment horizontal="center" vertical="center" wrapText="1"/>
      <protection locked="0"/>
    </xf>
    <xf numFmtId="1" fontId="15" fillId="8" borderId="7" xfId="0" applyNumberFormat="1" applyFont="1" applyFill="1" applyBorder="1" applyAlignment="1" applyProtection="1">
      <alignment horizontal="center" vertical="center" wrapText="1"/>
      <protection locked="0"/>
    </xf>
    <xf numFmtId="1" fontId="15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NumberFormat="1" applyFont="1">
      <alignment vertical="top" wrapText="1"/>
    </xf>
    <xf numFmtId="0" fontId="0" fillId="0" borderId="3" xfId="0" applyNumberFormat="1" applyBorder="1" applyProtection="1">
      <alignment vertical="top" wrapText="1"/>
    </xf>
    <xf numFmtId="0" fontId="0" fillId="0" borderId="0" xfId="0" applyNumberFormat="1" applyProtection="1">
      <alignment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9" fontId="14" fillId="5" borderId="34" xfId="0" applyNumberFormat="1" applyFont="1" applyFill="1" applyBorder="1" applyAlignment="1" applyProtection="1">
      <alignment horizontal="center" vertical="center"/>
    </xf>
    <xf numFmtId="49" fontId="14" fillId="5" borderId="73" xfId="0" applyNumberFormat="1" applyFont="1" applyFill="1" applyBorder="1" applyAlignment="1" applyProtection="1">
      <alignment horizontal="center" vertical="center"/>
    </xf>
    <xf numFmtId="49" fontId="14" fillId="6" borderId="34" xfId="0" applyNumberFormat="1" applyFont="1" applyFill="1" applyBorder="1" applyAlignment="1" applyProtection="1">
      <alignment horizontal="center" vertical="center"/>
    </xf>
    <xf numFmtId="49" fontId="14" fillId="6" borderId="36" xfId="0" applyNumberFormat="1" applyFont="1" applyFill="1" applyBorder="1" applyAlignment="1" applyProtection="1">
      <alignment horizontal="center" vertical="center"/>
    </xf>
    <xf numFmtId="49" fontId="17" fillId="7" borderId="30" xfId="0" applyNumberFormat="1" applyFont="1" applyFill="1" applyBorder="1" applyAlignment="1" applyProtection="1">
      <alignment horizontal="center" vertical="center"/>
    </xf>
    <xf numFmtId="49" fontId="17" fillId="7" borderId="36" xfId="0" applyNumberFormat="1" applyFont="1" applyFill="1" applyBorder="1" applyAlignment="1" applyProtection="1">
      <alignment horizontal="center" vertical="center"/>
    </xf>
    <xf numFmtId="49" fontId="32" fillId="15" borderId="6" xfId="0" applyNumberFormat="1" applyFont="1" applyFill="1" applyBorder="1" applyAlignment="1" applyProtection="1">
      <alignment horizontal="center" vertical="center"/>
    </xf>
    <xf numFmtId="49" fontId="14" fillId="5" borderId="63" xfId="0" applyNumberFormat="1" applyFont="1" applyFill="1" applyBorder="1" applyAlignment="1" applyProtection="1">
      <alignment horizontal="center" vertical="center"/>
    </xf>
    <xf numFmtId="49" fontId="14" fillId="6" borderId="65" xfId="0" applyNumberFormat="1" applyFont="1" applyFill="1" applyBorder="1" applyAlignment="1" applyProtection="1">
      <alignment horizontal="center" vertical="center"/>
    </xf>
    <xf numFmtId="49" fontId="17" fillId="0" borderId="65" xfId="0" applyNumberFormat="1" applyFont="1" applyFill="1" applyBorder="1" applyAlignment="1" applyProtection="1">
      <alignment horizontal="center" vertical="center"/>
    </xf>
    <xf numFmtId="49" fontId="17" fillId="15" borderId="64" xfId="0" applyNumberFormat="1" applyFont="1" applyFill="1" applyBorder="1" applyAlignment="1" applyProtection="1">
      <alignment horizontal="center" vertical="center"/>
    </xf>
    <xf numFmtId="49" fontId="20" fillId="0" borderId="24" xfId="0" applyNumberFormat="1" applyFont="1" applyFill="1" applyBorder="1" applyAlignment="1" applyProtection="1">
      <alignment horizontal="center" vertical="center"/>
    </xf>
    <xf numFmtId="49" fontId="2" fillId="2" borderId="82" xfId="0" applyNumberFormat="1" applyFont="1" applyFill="1" applyBorder="1" applyAlignment="1" applyProtection="1">
      <alignment horizontal="center" vertical="center" wrapText="1"/>
    </xf>
    <xf numFmtId="49" fontId="2" fillId="2" borderId="83" xfId="0" applyNumberFormat="1" applyFont="1" applyFill="1" applyBorder="1" applyAlignment="1" applyProtection="1">
      <alignment horizontal="center" vertical="center" wrapText="1"/>
    </xf>
    <xf numFmtId="49" fontId="2" fillId="2" borderId="76" xfId="0" applyNumberFormat="1" applyFont="1" applyFill="1" applyBorder="1" applyAlignment="1" applyProtection="1">
      <alignment horizontal="center" vertical="center" wrapText="1"/>
    </xf>
    <xf numFmtId="49" fontId="2" fillId="2" borderId="84" xfId="0" applyNumberFormat="1" applyFont="1" applyFill="1" applyBorder="1" applyAlignment="1" applyProtection="1">
      <alignment horizontal="center" vertical="center" wrapText="1"/>
    </xf>
    <xf numFmtId="49" fontId="14" fillId="6" borderId="35" xfId="0" applyNumberFormat="1" applyFont="1" applyFill="1" applyBorder="1" applyAlignment="1" applyProtection="1">
      <alignment horizontal="center" vertical="center"/>
    </xf>
    <xf numFmtId="49" fontId="14" fillId="5" borderId="92" xfId="0" applyNumberFormat="1" applyFont="1" applyFill="1" applyBorder="1" applyAlignment="1" applyProtection="1">
      <alignment horizontal="center" vertical="center"/>
    </xf>
    <xf numFmtId="49" fontId="14" fillId="6" borderId="93" xfId="0" applyNumberFormat="1" applyFont="1" applyFill="1" applyBorder="1" applyAlignment="1" applyProtection="1">
      <alignment horizontal="center" vertical="center"/>
    </xf>
    <xf numFmtId="49" fontId="14" fillId="6" borderId="92" xfId="0" applyNumberFormat="1" applyFont="1" applyFill="1" applyBorder="1" applyAlignment="1" applyProtection="1">
      <alignment horizontal="center" vertical="center"/>
    </xf>
    <xf numFmtId="49" fontId="17" fillId="7" borderId="93" xfId="0" applyNumberFormat="1" applyFont="1" applyFill="1" applyBorder="1" applyAlignment="1" applyProtection="1">
      <alignment horizontal="center" vertical="center"/>
    </xf>
    <xf numFmtId="49" fontId="17" fillId="0" borderId="93" xfId="0" applyNumberFormat="1" applyFont="1" applyFill="1" applyBorder="1" applyAlignment="1" applyProtection="1">
      <alignment horizontal="center" vertical="center"/>
    </xf>
    <xf numFmtId="49" fontId="32" fillId="15" borderId="20" xfId="0" applyNumberFormat="1" applyFont="1" applyFill="1" applyBorder="1" applyAlignment="1" applyProtection="1">
      <alignment horizontal="center" vertical="center"/>
    </xf>
    <xf numFmtId="49" fontId="32" fillId="15" borderId="15" xfId="0" applyNumberFormat="1" applyFont="1" applyFill="1" applyBorder="1" applyAlignment="1" applyProtection="1">
      <alignment horizontal="center" vertical="center"/>
    </xf>
    <xf numFmtId="0" fontId="4" fillId="4" borderId="67" xfId="0" applyNumberFormat="1" applyFont="1" applyFill="1" applyBorder="1" applyAlignment="1" applyProtection="1">
      <alignment horizontal="center" vertical="center" wrapText="1"/>
    </xf>
    <xf numFmtId="0" fontId="0" fillId="4" borderId="70" xfId="0" applyFill="1" applyBorder="1" applyAlignment="1" applyProtection="1">
      <alignment vertical="center" wrapText="1"/>
    </xf>
    <xf numFmtId="49" fontId="5" fillId="4" borderId="72" xfId="0" applyNumberFormat="1" applyFont="1" applyFill="1" applyBorder="1" applyAlignment="1" applyProtection="1">
      <alignment horizontal="center" vertical="center" wrapText="1"/>
    </xf>
    <xf numFmtId="1" fontId="15" fillId="4" borderId="67" xfId="0" applyNumberFormat="1" applyFont="1" applyFill="1" applyBorder="1" applyAlignment="1" applyProtection="1">
      <alignment horizontal="center" vertical="center" wrapText="1"/>
    </xf>
    <xf numFmtId="1" fontId="7" fillId="4" borderId="74" xfId="0" applyNumberFormat="1" applyFont="1" applyFill="1" applyBorder="1" applyAlignment="1" applyProtection="1">
      <alignment horizontal="center" vertical="center" wrapText="1"/>
    </xf>
    <xf numFmtId="1" fontId="16" fillId="4" borderId="70" xfId="0" applyNumberFormat="1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 wrapText="1"/>
    </xf>
    <xf numFmtId="0" fontId="6" fillId="4" borderId="72" xfId="0" applyFont="1" applyFill="1" applyBorder="1" applyAlignment="1" applyProtection="1">
      <alignment horizontal="center" vertical="center" wrapText="1"/>
    </xf>
    <xf numFmtId="0" fontId="6" fillId="4" borderId="70" xfId="0" applyFont="1" applyFill="1" applyBorder="1" applyAlignment="1" applyProtection="1">
      <alignment horizontal="center" vertical="center" wrapText="1"/>
    </xf>
    <xf numFmtId="0" fontId="6" fillId="4" borderId="69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4" borderId="97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33" fillId="0" borderId="3" xfId="0" applyNumberFormat="1" applyFont="1" applyFill="1" applyBorder="1" applyProtection="1">
      <alignment vertical="top" wrapText="1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1" fontId="21" fillId="0" borderId="3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7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</xf>
    <xf numFmtId="0" fontId="6" fillId="4" borderId="96" xfId="0" applyFont="1" applyFill="1" applyBorder="1" applyAlignment="1" applyProtection="1">
      <alignment horizontal="center" vertical="center" wrapText="1"/>
    </xf>
    <xf numFmtId="0" fontId="8" fillId="4" borderId="95" xfId="0" applyFont="1" applyFill="1" applyBorder="1" applyAlignment="1" applyProtection="1">
      <alignment horizontal="center" vertical="center" wrapText="1"/>
    </xf>
    <xf numFmtId="0" fontId="8" fillId="4" borderId="66" xfId="0" applyFont="1" applyFill="1" applyBorder="1" applyAlignment="1" applyProtection="1">
      <alignment horizontal="center" vertical="center" wrapText="1"/>
    </xf>
    <xf numFmtId="0" fontId="8" fillId="4" borderId="98" xfId="0" applyFont="1" applyFill="1" applyBorder="1" applyAlignment="1" applyProtection="1">
      <alignment horizontal="center" vertical="center" wrapText="1"/>
    </xf>
    <xf numFmtId="0" fontId="8" fillId="4" borderId="94" xfId="0" applyFont="1" applyFill="1" applyBorder="1" applyAlignment="1" applyProtection="1">
      <alignment horizontal="center" vertical="center" wrapText="1"/>
    </xf>
    <xf numFmtId="0" fontId="4" fillId="4" borderId="18" xfId="0" applyNumberFormat="1" applyFont="1" applyFill="1" applyBorder="1" applyAlignment="1" applyProtection="1">
      <alignment horizontal="center" vertical="center" wrapText="1"/>
    </xf>
    <xf numFmtId="0" fontId="6" fillId="4" borderId="86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60" xfId="0" applyFont="1" applyFill="1" applyBorder="1" applyAlignment="1" applyProtection="1">
      <alignment horizontal="center" vertical="center" wrapText="1"/>
    </xf>
    <xf numFmtId="0" fontId="8" fillId="4" borderId="91" xfId="0" applyFont="1" applyFill="1" applyBorder="1" applyAlignment="1" applyProtection="1">
      <alignment horizontal="center" vertical="center" wrapText="1"/>
    </xf>
    <xf numFmtId="0" fontId="4" fillId="4" borderId="19" xfId="0" applyNumberFormat="1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4" borderId="61" xfId="0" applyFont="1" applyFill="1" applyBorder="1" applyAlignment="1" applyProtection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top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49" fontId="13" fillId="4" borderId="6" xfId="0" applyNumberFormat="1" applyFont="1" applyFill="1" applyBorder="1" applyAlignment="1" applyProtection="1">
      <alignment horizontal="center" vertical="center" wrapText="1"/>
    </xf>
    <xf numFmtId="49" fontId="17" fillId="15" borderId="36" xfId="0" applyNumberFormat="1" applyFont="1" applyFill="1" applyBorder="1" applyAlignment="1" applyProtection="1">
      <alignment horizontal="center" vertical="center"/>
    </xf>
    <xf numFmtId="49" fontId="17" fillId="13" borderId="36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 wrapText="1"/>
    </xf>
    <xf numFmtId="49" fontId="17" fillId="12" borderId="36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 wrapText="1"/>
    </xf>
    <xf numFmtId="0" fontId="27" fillId="4" borderId="29" xfId="0" applyNumberFormat="1" applyFont="1" applyFill="1" applyBorder="1" applyAlignment="1" applyProtection="1">
      <alignment horizontal="center" vertical="center" wrapText="1"/>
    </xf>
    <xf numFmtId="0" fontId="2" fillId="17" borderId="29" xfId="0" applyNumberFormat="1" applyFont="1" applyFill="1" applyBorder="1" applyAlignment="1" applyProtection="1">
      <alignment horizontal="center" vertical="center" wrapText="1"/>
    </xf>
    <xf numFmtId="0" fontId="2" fillId="16" borderId="29" xfId="0" applyNumberFormat="1" applyFont="1" applyFill="1" applyBorder="1" applyAlignment="1" applyProtection="1">
      <alignment horizontal="center" vertical="center" wrapText="1"/>
    </xf>
    <xf numFmtId="2" fontId="22" fillId="0" borderId="15" xfId="0" applyNumberFormat="1" applyFont="1" applyFill="1" applyBorder="1" applyAlignment="1" applyProtection="1">
      <alignment horizontal="center" vertical="center" wrapText="1"/>
    </xf>
    <xf numFmtId="1" fontId="15" fillId="8" borderId="6" xfId="0" applyNumberFormat="1" applyFont="1" applyFill="1" applyBorder="1" applyAlignment="1" applyProtection="1">
      <alignment horizontal="center" vertical="center" wrapText="1"/>
    </xf>
    <xf numFmtId="1" fontId="7" fillId="9" borderId="6" xfId="0" applyNumberFormat="1" applyFont="1" applyFill="1" applyBorder="1" applyAlignment="1" applyProtection="1">
      <alignment horizontal="center" vertical="center" wrapText="1"/>
    </xf>
    <xf numFmtId="1" fontId="16" fillId="14" borderId="6" xfId="0" applyNumberFormat="1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center" vertical="center" wrapText="1"/>
    </xf>
    <xf numFmtId="0" fontId="2" fillId="16" borderId="23" xfId="0" applyNumberFormat="1" applyFont="1" applyFill="1" applyBorder="1" applyAlignment="1" applyProtection="1">
      <alignment horizontal="center" vertical="center" wrapText="1"/>
    </xf>
    <xf numFmtId="2" fontId="22" fillId="0" borderId="6" xfId="0" applyNumberFormat="1" applyFont="1" applyFill="1" applyBorder="1" applyAlignment="1" applyProtection="1">
      <alignment horizontal="center" vertical="center" wrapText="1"/>
    </xf>
    <xf numFmtId="1" fontId="15" fillId="8" borderId="28" xfId="0" applyNumberFormat="1" applyFont="1" applyFill="1" applyBorder="1" applyAlignment="1" applyProtection="1">
      <alignment horizontal="center" vertical="center" wrapText="1"/>
    </xf>
    <xf numFmtId="1" fontId="7" fillId="9" borderId="28" xfId="0" applyNumberFormat="1" applyFont="1" applyFill="1" applyBorder="1" applyAlignment="1" applyProtection="1">
      <alignment horizontal="center" vertical="center" wrapText="1"/>
    </xf>
    <xf numFmtId="1" fontId="16" fillId="14" borderId="28" xfId="0" applyNumberFormat="1" applyFont="1" applyFill="1" applyBorder="1" applyAlignment="1" applyProtection="1">
      <alignment horizontal="center" vertical="center" wrapText="1"/>
    </xf>
    <xf numFmtId="49" fontId="2" fillId="4" borderId="16" xfId="0" applyNumberFormat="1" applyFont="1" applyFill="1" applyBorder="1" applyAlignment="1" applyProtection="1">
      <alignment horizontal="center" vertical="center" wrapText="1"/>
    </xf>
    <xf numFmtId="0" fontId="2" fillId="16" borderId="21" xfId="0" applyNumberFormat="1" applyFont="1" applyFill="1" applyBorder="1" applyAlignment="1" applyProtection="1">
      <alignment horizontal="center" vertical="center" wrapText="1"/>
    </xf>
    <xf numFmtId="2" fontId="22" fillId="0" borderId="16" xfId="0" applyNumberFormat="1" applyFont="1" applyFill="1" applyBorder="1" applyAlignment="1" applyProtection="1">
      <alignment horizontal="center" vertical="center" wrapText="1"/>
    </xf>
    <xf numFmtId="1" fontId="15" fillId="8" borderId="16" xfId="0" applyNumberFormat="1" applyFont="1" applyFill="1" applyBorder="1" applyAlignment="1" applyProtection="1">
      <alignment horizontal="center" vertical="center" wrapText="1"/>
    </xf>
    <xf numFmtId="1" fontId="7" fillId="9" borderId="16" xfId="0" applyNumberFormat="1" applyFont="1" applyFill="1" applyBorder="1" applyAlignment="1" applyProtection="1">
      <alignment horizontal="center" vertical="center" wrapText="1"/>
    </xf>
    <xf numFmtId="1" fontId="16" fillId="14" borderId="16" xfId="0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Border="1" applyProtection="1">
      <alignment vertical="top" wrapText="1"/>
    </xf>
    <xf numFmtId="0" fontId="28" fillId="4" borderId="6" xfId="0" applyNumberFormat="1" applyFont="1" applyFill="1" applyBorder="1" applyAlignment="1" applyProtection="1">
      <alignment horizontal="center" vertical="top" wrapText="1"/>
    </xf>
    <xf numFmtId="0" fontId="29" fillId="0" borderId="29" xfId="0" applyNumberFormat="1" applyFont="1" applyBorder="1" applyAlignment="1" applyProtection="1">
      <alignment horizontal="right" vertical="center" wrapText="1"/>
    </xf>
    <xf numFmtId="0" fontId="0" fillId="0" borderId="30" xfId="0" applyNumberFormat="1" applyBorder="1" applyAlignment="1" applyProtection="1">
      <alignment vertical="center" wrapText="1"/>
    </xf>
    <xf numFmtId="49" fontId="17" fillId="15" borderId="6" xfId="0" applyNumberFormat="1" applyFont="1" applyFill="1" applyBorder="1" applyAlignment="1" applyProtection="1">
      <alignment horizontal="center" vertical="center"/>
    </xf>
    <xf numFmtId="0" fontId="27" fillId="4" borderId="29" xfId="0" applyNumberFormat="1" applyFont="1" applyFill="1" applyBorder="1" applyAlignment="1" applyProtection="1">
      <alignment horizontal="center" vertical="center"/>
    </xf>
    <xf numFmtId="1" fontId="27" fillId="4" borderId="30" xfId="0" applyNumberFormat="1" applyFont="1" applyFill="1" applyBorder="1" applyAlignment="1" applyProtection="1">
      <alignment horizontal="center" vertical="center"/>
    </xf>
    <xf numFmtId="0" fontId="34" fillId="17" borderId="75" xfId="0" applyFont="1" applyFill="1" applyBorder="1" applyAlignment="1" applyProtection="1">
      <alignment horizontal="center" vertical="center" wrapText="1"/>
      <protection locked="0"/>
    </xf>
    <xf numFmtId="0" fontId="34" fillId="17" borderId="62" xfId="0" applyFont="1" applyFill="1" applyBorder="1" applyAlignment="1" applyProtection="1">
      <alignment horizontal="center" vertical="center" wrapText="1"/>
      <protection locked="0"/>
    </xf>
    <xf numFmtId="0" fontId="34" fillId="17" borderId="16" xfId="0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49" fontId="2" fillId="2" borderId="16" xfId="0" applyNumberFormat="1" applyFont="1" applyFill="1" applyBorder="1" applyAlignment="1" applyProtection="1">
      <alignment horizontal="center" vertical="center" wrapText="1"/>
    </xf>
    <xf numFmtId="0" fontId="0" fillId="4" borderId="60" xfId="0" applyNumberFormat="1" applyFill="1" applyBorder="1" applyAlignment="1" applyProtection="1">
      <alignment horizontal="center" vertical="center" wrapText="1"/>
    </xf>
    <xf numFmtId="0" fontId="0" fillId="4" borderId="89" xfId="0" applyNumberFormat="1" applyFill="1" applyBorder="1" applyAlignment="1" applyProtection="1">
      <alignment horizontal="center" vertical="center" wrapText="1"/>
    </xf>
    <xf numFmtId="0" fontId="0" fillId="4" borderId="61" xfId="0" applyNumberFormat="1" applyFill="1" applyBorder="1" applyAlignment="1" applyProtection="1">
      <alignment horizontal="center" vertical="center" wrapText="1"/>
    </xf>
    <xf numFmtId="0" fontId="0" fillId="4" borderId="90" xfId="0" applyNumberFormat="1" applyFill="1" applyBorder="1" applyAlignment="1" applyProtection="1">
      <alignment horizontal="center" vertical="center" wrapText="1"/>
    </xf>
    <xf numFmtId="49" fontId="17" fillId="12" borderId="55" xfId="0" applyNumberFormat="1" applyFont="1" applyFill="1" applyBorder="1" applyAlignment="1" applyProtection="1">
      <alignment horizontal="center" vertical="center"/>
    </xf>
    <xf numFmtId="49" fontId="17" fillId="12" borderId="24" xfId="0" applyNumberFormat="1" applyFont="1" applyFill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0" fontId="0" fillId="4" borderId="13" xfId="0" applyNumberFormat="1" applyFill="1" applyBorder="1" applyAlignment="1" applyProtection="1">
      <alignment horizontal="center" vertical="center" wrapText="1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40" xfId="0" applyNumberFormat="1" applyFont="1" applyBorder="1" applyAlignment="1" applyProtection="1">
      <alignment horizontal="center" vertical="center" wrapText="1"/>
      <protection locked="0"/>
    </xf>
    <xf numFmtId="49" fontId="14" fillId="5" borderId="23" xfId="0" applyNumberFormat="1" applyFont="1" applyFill="1" applyBorder="1" applyAlignment="1" applyProtection="1">
      <alignment horizontal="center" vertical="center"/>
    </xf>
    <xf numFmtId="49" fontId="14" fillId="5" borderId="24" xfId="0" applyNumberFormat="1" applyFont="1" applyFill="1" applyBorder="1" applyAlignment="1" applyProtection="1">
      <alignment horizontal="center" vertical="center"/>
    </xf>
    <xf numFmtId="49" fontId="14" fillId="6" borderId="55" xfId="0" applyNumberFormat="1" applyFont="1" applyFill="1" applyBorder="1" applyAlignment="1" applyProtection="1">
      <alignment horizontal="center" vertical="center"/>
    </xf>
    <xf numFmtId="49" fontId="14" fillId="6" borderId="24" xfId="0" applyNumberFormat="1" applyFont="1" applyFill="1" applyBorder="1" applyAlignment="1" applyProtection="1">
      <alignment horizontal="center" vertical="center"/>
    </xf>
    <xf numFmtId="0" fontId="0" fillId="4" borderId="14" xfId="0" applyNumberFormat="1" applyFill="1" applyBorder="1" applyAlignment="1" applyProtection="1">
      <alignment horizontal="center" vertical="center" wrapText="1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85" xfId="0" applyNumberFormat="1" applyFill="1" applyBorder="1" applyAlignment="1" applyProtection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</xf>
    <xf numFmtId="49" fontId="2" fillId="2" borderId="23" xfId="0" applyNumberFormat="1" applyFont="1" applyFill="1" applyBorder="1" applyAlignment="1" applyProtection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18" fillId="10" borderId="15" xfId="0" applyFont="1" applyFill="1" applyBorder="1" applyAlignment="1" applyProtection="1">
      <alignment horizontal="center" vertical="center" wrapText="1"/>
    </xf>
    <xf numFmtId="0" fontId="18" fillId="10" borderId="28" xfId="0" applyFont="1" applyFill="1" applyBorder="1" applyAlignment="1" applyProtection="1">
      <alignment horizontal="center" vertical="center" wrapText="1"/>
    </xf>
    <xf numFmtId="0" fontId="18" fillId="10" borderId="16" xfId="0" applyFont="1" applyFill="1" applyBorder="1" applyAlignment="1" applyProtection="1">
      <alignment horizontal="center" vertical="center" wrapText="1"/>
    </xf>
    <xf numFmtId="49" fontId="5" fillId="4" borderId="69" xfId="0" applyNumberFormat="1" applyFont="1" applyFill="1" applyBorder="1" applyAlignment="1" applyProtection="1">
      <alignment horizontal="center" vertical="center" wrapText="1"/>
    </xf>
    <xf numFmtId="49" fontId="5" fillId="4" borderId="74" xfId="0" applyNumberFormat="1" applyFont="1" applyFill="1" applyBorder="1" applyAlignment="1" applyProtection="1">
      <alignment horizontal="center" vertical="center" wrapText="1"/>
    </xf>
    <xf numFmtId="0" fontId="18" fillId="10" borderId="27" xfId="0" applyFont="1" applyFill="1" applyBorder="1" applyAlignment="1" applyProtection="1">
      <alignment horizontal="center" vertical="center" wrapText="1"/>
    </xf>
    <xf numFmtId="0" fontId="18" fillId="10" borderId="22" xfId="0" applyFont="1" applyFill="1" applyBorder="1" applyAlignment="1" applyProtection="1">
      <alignment horizontal="center" vertical="center" wrapText="1"/>
    </xf>
    <xf numFmtId="0" fontId="18" fillId="10" borderId="3" xfId="0" applyFont="1" applyFill="1" applyBorder="1" applyAlignment="1" applyProtection="1">
      <alignment horizontal="center" vertical="center" wrapText="1"/>
    </xf>
    <xf numFmtId="0" fontId="18" fillId="10" borderId="24" xfId="0" applyFont="1" applyFill="1" applyBorder="1" applyAlignment="1" applyProtection="1">
      <alignment horizontal="center" vertical="center" wrapText="1"/>
    </xf>
    <xf numFmtId="0" fontId="18" fillId="10" borderId="26" xfId="0" applyFont="1" applyFill="1" applyBorder="1" applyAlignment="1" applyProtection="1">
      <alignment horizontal="center" vertical="center" wrapText="1"/>
    </xf>
    <xf numFmtId="0" fontId="18" fillId="10" borderId="25" xfId="0" applyFont="1" applyFill="1" applyBorder="1" applyAlignment="1" applyProtection="1">
      <alignment horizontal="center" vertical="center" wrapText="1"/>
    </xf>
    <xf numFmtId="0" fontId="2" fillId="10" borderId="15" xfId="0" applyFont="1" applyFill="1" applyBorder="1" applyAlignment="1" applyProtection="1">
      <alignment horizontal="center" vertical="center" wrapText="1"/>
    </xf>
    <xf numFmtId="0" fontId="2" fillId="10" borderId="28" xfId="0" applyFont="1" applyFill="1" applyBorder="1" applyAlignment="1" applyProtection="1">
      <alignment horizontal="center" vertical="center" wrapText="1"/>
    </xf>
    <xf numFmtId="0" fontId="2" fillId="10" borderId="21" xfId="0" applyFont="1" applyFill="1" applyBorder="1" applyAlignment="1" applyProtection="1">
      <alignment horizontal="center" vertical="center" wrapText="1"/>
    </xf>
    <xf numFmtId="0" fontId="0" fillId="4" borderId="63" xfId="0" applyNumberFormat="1" applyFill="1" applyBorder="1" applyAlignment="1" applyProtection="1">
      <alignment horizontal="center" vertical="center" wrapText="1"/>
    </xf>
    <xf numFmtId="0" fontId="0" fillId="4" borderId="65" xfId="0" applyNumberFormat="1" applyFill="1" applyBorder="1" applyAlignment="1" applyProtection="1">
      <alignment horizontal="center" vertical="center" wrapText="1"/>
    </xf>
    <xf numFmtId="49" fontId="18" fillId="10" borderId="20" xfId="0" applyNumberFormat="1" applyFont="1" applyFill="1" applyBorder="1" applyAlignment="1" applyProtection="1">
      <alignment horizontal="center" vertical="center" wrapText="1"/>
    </xf>
    <xf numFmtId="49" fontId="18" fillId="10" borderId="27" xfId="0" applyNumberFormat="1" applyFont="1" applyFill="1" applyBorder="1" applyAlignment="1" applyProtection="1">
      <alignment horizontal="center" vertical="center" wrapText="1"/>
    </xf>
    <xf numFmtId="49" fontId="18" fillId="10" borderId="22" xfId="0" applyNumberFormat="1" applyFont="1" applyFill="1" applyBorder="1" applyAlignment="1" applyProtection="1">
      <alignment horizontal="center" vertical="center" wrapText="1"/>
    </xf>
    <xf numFmtId="49" fontId="18" fillId="10" borderId="21" xfId="0" applyNumberFormat="1" applyFont="1" applyFill="1" applyBorder="1" applyAlignment="1" applyProtection="1">
      <alignment horizontal="center" vertical="center" wrapText="1"/>
    </xf>
    <xf numFmtId="49" fontId="18" fillId="10" borderId="26" xfId="0" applyNumberFormat="1" applyFont="1" applyFill="1" applyBorder="1" applyAlignment="1" applyProtection="1">
      <alignment horizontal="center" vertical="center" wrapText="1"/>
    </xf>
    <xf numFmtId="49" fontId="18" fillId="10" borderId="25" xfId="0" applyNumberFormat="1" applyFont="1" applyFill="1" applyBorder="1" applyAlignment="1" applyProtection="1">
      <alignment horizontal="center" vertical="center" wrapText="1"/>
    </xf>
    <xf numFmtId="49" fontId="18" fillId="2" borderId="20" xfId="0" applyNumberFormat="1" applyFont="1" applyFill="1" applyBorder="1" applyAlignment="1" applyProtection="1">
      <alignment horizontal="center" vertical="center" wrapText="1"/>
    </xf>
    <xf numFmtId="49" fontId="18" fillId="2" borderId="27" xfId="0" applyNumberFormat="1" applyFont="1" applyFill="1" applyBorder="1" applyAlignment="1" applyProtection="1">
      <alignment horizontal="center" vertical="center" wrapText="1"/>
    </xf>
    <xf numFmtId="49" fontId="18" fillId="2" borderId="21" xfId="0" applyNumberFormat="1" applyFont="1" applyFill="1" applyBorder="1" applyAlignment="1" applyProtection="1">
      <alignment horizontal="center" vertical="center" wrapText="1"/>
    </xf>
    <xf numFmtId="49" fontId="18" fillId="2" borderId="26" xfId="0" applyNumberFormat="1" applyFont="1" applyFill="1" applyBorder="1" applyAlignment="1" applyProtection="1">
      <alignment horizontal="center" vertical="center" wrapText="1"/>
    </xf>
    <xf numFmtId="49" fontId="18" fillId="2" borderId="22" xfId="0" applyNumberFormat="1" applyFont="1" applyFill="1" applyBorder="1" applyAlignment="1" applyProtection="1">
      <alignment horizontal="center" vertical="center" wrapText="1"/>
    </xf>
    <xf numFmtId="49" fontId="18" fillId="2" borderId="25" xfId="0" applyNumberFormat="1" applyFont="1" applyFill="1" applyBorder="1" applyAlignment="1" applyProtection="1">
      <alignment horizontal="center" vertical="center" wrapText="1"/>
    </xf>
    <xf numFmtId="49" fontId="2" fillId="2" borderId="29" xfId="0" applyNumberFormat="1" applyFont="1" applyFill="1" applyBorder="1" applyAlignment="1" applyProtection="1">
      <alignment horizontal="center" vertical="center" wrapText="1"/>
    </xf>
    <xf numFmtId="49" fontId="2" fillId="2" borderId="52" xfId="0" applyNumberFormat="1" applyFont="1" applyFill="1" applyBorder="1" applyAlignment="1" applyProtection="1">
      <alignment horizontal="center" vertical="center" wrapText="1"/>
    </xf>
    <xf numFmtId="49" fontId="2" fillId="2" borderId="30" xfId="0" applyNumberFormat="1" applyFont="1" applyFill="1" applyBorder="1" applyAlignment="1" applyProtection="1">
      <alignment horizontal="center" vertical="center" wrapText="1"/>
    </xf>
    <xf numFmtId="0" fontId="0" fillId="4" borderId="64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29" fillId="13" borderId="21" xfId="0" applyNumberFormat="1" applyFont="1" applyFill="1" applyBorder="1" applyAlignment="1">
      <alignment horizontal="center" vertical="top" wrapText="1"/>
    </xf>
    <xf numFmtId="0" fontId="29" fillId="13" borderId="26" xfId="0" applyNumberFormat="1" applyFont="1" applyFill="1" applyBorder="1" applyAlignment="1">
      <alignment horizontal="center" vertical="top" wrapText="1"/>
    </xf>
    <xf numFmtId="0" fontId="29" fillId="13" borderId="25" xfId="0" applyNumberFormat="1" applyFont="1" applyFill="1" applyBorder="1" applyAlignment="1">
      <alignment horizontal="center" vertical="top" wrapText="1"/>
    </xf>
    <xf numFmtId="0" fontId="29" fillId="0" borderId="3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center" vertical="center" wrapText="1"/>
    </xf>
    <xf numFmtId="0" fontId="29" fillId="0" borderId="20" xfId="0" applyNumberFormat="1" applyFont="1" applyBorder="1" applyAlignment="1">
      <alignment horizontal="center" vertical="center" wrapText="1"/>
    </xf>
    <xf numFmtId="0" fontId="29" fillId="0" borderId="27" xfId="0" applyNumberFormat="1" applyFont="1" applyBorder="1" applyAlignment="1">
      <alignment horizontal="center" vertical="center" wrapText="1"/>
    </xf>
    <xf numFmtId="0" fontId="29" fillId="0" borderId="29" xfId="0" applyNumberFormat="1" applyFont="1" applyBorder="1" applyAlignment="1">
      <alignment horizontal="center" vertical="center" wrapText="1"/>
    </xf>
    <xf numFmtId="0" fontId="29" fillId="0" borderId="52" xfId="0" applyNumberFormat="1" applyFont="1" applyBorder="1" applyAlignment="1">
      <alignment horizontal="center" vertical="center" wrapText="1"/>
    </xf>
    <xf numFmtId="0" fontId="29" fillId="0" borderId="3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9" fontId="25" fillId="2" borderId="50" xfId="0" applyNumberFormat="1" applyFont="1" applyFill="1" applyBorder="1" applyAlignment="1">
      <alignment horizontal="center" vertical="center"/>
    </xf>
    <xf numFmtId="49" fontId="25" fillId="2" borderId="53" xfId="0" applyNumberFormat="1" applyFont="1" applyFill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0" fontId="12" fillId="15" borderId="29" xfId="0" applyFont="1" applyFill="1" applyBorder="1" applyAlignment="1">
      <alignment horizontal="center" vertical="center"/>
    </xf>
    <xf numFmtId="0" fontId="12" fillId="15" borderId="52" xfId="0" applyFont="1" applyFill="1" applyBorder="1" applyAlignment="1">
      <alignment horizontal="center" vertical="center"/>
    </xf>
    <xf numFmtId="0" fontId="12" fillId="15" borderId="30" xfId="0" applyFont="1" applyFill="1" applyBorder="1" applyAlignment="1">
      <alignment horizontal="center" vertical="center"/>
    </xf>
    <xf numFmtId="0" fontId="29" fillId="0" borderId="9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F1BFF"/>
      <rgbColor rgb="FFBDC0BF"/>
      <rgbColor rgb="FFA5A5A5"/>
      <rgbColor rgb="FF020201"/>
      <rgbColor rgb="FF0432FF"/>
      <rgbColor rgb="FFFEFE9F"/>
      <rgbColor rgb="FF3F3F3F"/>
      <rgbColor rgb="00000000"/>
      <rgbColor rgb="E5FF9781"/>
      <rgbColor rgb="FFDBDBDB"/>
      <rgbColor rgb="FFA6A6A6"/>
      <rgbColor rgb="FFFCF305"/>
      <rgbColor rgb="FFFDFDC7"/>
      <rgbColor rgb="FFD7FDD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452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81643</xdr:colOff>
      <xdr:row>29</xdr:row>
      <xdr:rowOff>108599</xdr:rowOff>
    </xdr:from>
    <xdr:to>
      <xdr:col>21</xdr:col>
      <xdr:colOff>4751</xdr:colOff>
      <xdr:row>40</xdr:row>
      <xdr:rowOff>84811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601515F-B78E-8794-B13A-AC2229297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6086" y="7989856"/>
          <a:ext cx="3467495" cy="3049612"/>
        </a:xfrm>
        <a:prstGeom prst="rect">
          <a:avLst/>
        </a:prstGeom>
      </xdr:spPr>
    </xdr:pic>
    <xdr:clientData/>
  </xdr:twoCellAnchor>
  <xdr:twoCellAnchor editAs="oneCell">
    <xdr:from>
      <xdr:col>22</xdr:col>
      <xdr:colOff>100330</xdr:colOff>
      <xdr:row>35</xdr:row>
      <xdr:rowOff>171001</xdr:rowOff>
    </xdr:from>
    <xdr:to>
      <xdr:col>24</xdr:col>
      <xdr:colOff>126314</xdr:colOff>
      <xdr:row>38</xdr:row>
      <xdr:rowOff>105036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4178390-21FD-F240-9E27-F087EF5F6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66616" y="9550858"/>
          <a:ext cx="660984" cy="696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D43"/>
  <sheetViews>
    <sheetView showGridLines="0" tabSelected="1" zoomScale="125" zoomScaleNormal="75" workbookViewId="0">
      <pane xSplit="1" ySplit="4" topLeftCell="B5" activePane="bottomRight" state="frozen"/>
      <selection pane="topRight"/>
      <selection pane="bottomLeft"/>
      <selection pane="bottomRight" activeCell="B6" sqref="B6"/>
    </sheetView>
  </sheetViews>
  <sheetFormatPr baseColWidth="10" defaultColWidth="16.33203125" defaultRowHeight="20" customHeight="1"/>
  <cols>
    <col min="1" max="1" width="13.5" style="76" bestFit="1" customWidth="1"/>
    <col min="2" max="2" width="35.33203125" style="76" customWidth="1"/>
    <col min="3" max="3" width="8.83203125" style="76" bestFit="1" customWidth="1"/>
    <col min="4" max="4" width="7" style="142" bestFit="1" customWidth="1"/>
    <col min="5" max="5" width="8.83203125" style="142" bestFit="1" customWidth="1"/>
    <col min="6" max="8" width="7.6640625" style="76" bestFit="1" customWidth="1"/>
    <col min="9" max="9" width="6.33203125" style="76" bestFit="1" customWidth="1"/>
    <col min="10" max="10" width="2.6640625" style="76" customWidth="1"/>
    <col min="11" max="12" width="5.5" style="76" bestFit="1" customWidth="1"/>
    <col min="13" max="13" width="5.5" style="76" customWidth="1"/>
    <col min="14" max="14" width="4.5" style="76" bestFit="1" customWidth="1"/>
    <col min="15" max="15" width="4.5" style="76" customWidth="1"/>
    <col min="16" max="16" width="5" style="76" bestFit="1" customWidth="1"/>
    <col min="17" max="17" width="5" style="76" customWidth="1"/>
    <col min="18" max="18" width="5.5" style="76" bestFit="1" customWidth="1"/>
    <col min="19" max="20" width="5.6640625" style="76" bestFit="1" customWidth="1"/>
    <col min="21" max="21" width="4.83203125" style="76" bestFit="1" customWidth="1"/>
    <col min="22" max="22" width="5.5" style="76" bestFit="1" customWidth="1"/>
    <col min="23" max="23" width="4.1640625" style="76" bestFit="1" customWidth="1"/>
    <col min="24" max="24" width="4.1640625" style="75" bestFit="1" customWidth="1"/>
    <col min="25" max="27" width="4.83203125" style="75" bestFit="1" customWidth="1"/>
    <col min="28" max="28" width="9.5" style="75" bestFit="1" customWidth="1"/>
    <col min="29" max="31" width="3.1640625" style="75" bestFit="1" customWidth="1"/>
    <col min="32" max="212" width="16.33203125" style="75"/>
    <col min="213" max="16384" width="16.33203125" style="76"/>
  </cols>
  <sheetData>
    <row r="1" spans="1:31" ht="27.75" customHeight="1" thickBot="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31" ht="27.75" customHeight="1" thickBot="1">
      <c r="A2" s="203" t="s">
        <v>4</v>
      </c>
      <c r="B2" s="206" t="s">
        <v>18</v>
      </c>
      <c r="C2" s="211" t="s">
        <v>17</v>
      </c>
      <c r="D2" s="212"/>
      <c r="E2" s="217" t="s">
        <v>31</v>
      </c>
      <c r="F2" s="222" t="s">
        <v>14</v>
      </c>
      <c r="G2" s="223"/>
      <c r="H2" s="223"/>
      <c r="I2" s="224"/>
      <c r="J2" s="77"/>
      <c r="K2" s="234" t="s">
        <v>32</v>
      </c>
      <c r="L2" s="235"/>
      <c r="M2" s="235"/>
      <c r="N2" s="235"/>
      <c r="O2" s="235"/>
      <c r="P2" s="235"/>
      <c r="Q2" s="236"/>
      <c r="R2" s="228" t="s">
        <v>20</v>
      </c>
      <c r="S2" s="229"/>
      <c r="T2" s="229"/>
      <c r="U2" s="232"/>
      <c r="V2" s="228" t="s">
        <v>19</v>
      </c>
      <c r="W2" s="229"/>
      <c r="X2" s="229"/>
      <c r="Y2" s="229"/>
      <c r="Z2" s="229"/>
      <c r="AA2" s="229"/>
      <c r="AB2" s="180" t="s">
        <v>52</v>
      </c>
    </row>
    <row r="3" spans="1:31" ht="32.75" customHeight="1" thickBot="1">
      <c r="A3" s="204"/>
      <c r="B3" s="207"/>
      <c r="C3" s="213"/>
      <c r="D3" s="214"/>
      <c r="E3" s="218"/>
      <c r="F3" s="225"/>
      <c r="G3" s="226"/>
      <c r="H3" s="226"/>
      <c r="I3" s="227"/>
      <c r="J3" s="77"/>
      <c r="K3" s="78" t="s">
        <v>1</v>
      </c>
      <c r="L3" s="79" t="s">
        <v>1</v>
      </c>
      <c r="M3" s="80" t="s">
        <v>2</v>
      </c>
      <c r="N3" s="81" t="s">
        <v>2</v>
      </c>
      <c r="O3" s="82" t="s">
        <v>3</v>
      </c>
      <c r="P3" s="83" t="s">
        <v>3</v>
      </c>
      <c r="Q3" s="84" t="s">
        <v>43</v>
      </c>
      <c r="R3" s="230"/>
      <c r="S3" s="231"/>
      <c r="T3" s="231"/>
      <c r="U3" s="233"/>
      <c r="V3" s="230"/>
      <c r="W3" s="231"/>
      <c r="X3" s="231"/>
      <c r="Y3" s="231"/>
      <c r="Z3" s="231"/>
      <c r="AA3" s="231"/>
      <c r="AB3" s="181"/>
    </row>
    <row r="4" spans="1:31" ht="19.75" customHeight="1" thickBot="1">
      <c r="A4" s="205"/>
      <c r="B4" s="208"/>
      <c r="C4" s="215"/>
      <c r="D4" s="216"/>
      <c r="E4" s="219"/>
      <c r="F4" s="85" t="s">
        <v>1</v>
      </c>
      <c r="G4" s="86" t="s">
        <v>2</v>
      </c>
      <c r="H4" s="87" t="s">
        <v>3</v>
      </c>
      <c r="I4" s="88" t="s">
        <v>43</v>
      </c>
      <c r="J4" s="89"/>
      <c r="K4" s="90" t="s">
        <v>5</v>
      </c>
      <c r="L4" s="91" t="s">
        <v>6</v>
      </c>
      <c r="M4" s="90" t="s">
        <v>5</v>
      </c>
      <c r="N4" s="92" t="s">
        <v>6</v>
      </c>
      <c r="O4" s="93" t="s">
        <v>5</v>
      </c>
      <c r="P4" s="92" t="s">
        <v>6</v>
      </c>
      <c r="Q4" s="92" t="s">
        <v>6</v>
      </c>
      <c r="R4" s="78" t="s">
        <v>1</v>
      </c>
      <c r="S4" s="94" t="s">
        <v>2</v>
      </c>
      <c r="T4" s="83" t="s">
        <v>3</v>
      </c>
      <c r="U4" s="84" t="s">
        <v>43</v>
      </c>
      <c r="V4" s="95" t="s">
        <v>1</v>
      </c>
      <c r="W4" s="96" t="s">
        <v>2</v>
      </c>
      <c r="X4" s="97" t="s">
        <v>2</v>
      </c>
      <c r="Y4" s="98" t="s">
        <v>3</v>
      </c>
      <c r="Z4" s="99" t="s">
        <v>3</v>
      </c>
      <c r="AA4" s="100" t="s">
        <v>43</v>
      </c>
      <c r="AB4" s="101" t="s">
        <v>43</v>
      </c>
    </row>
    <row r="5" spans="1:31" ht="19.75" customHeight="1" thickBot="1">
      <c r="A5" s="102" t="s">
        <v>21</v>
      </c>
      <c r="B5" s="103" t="s">
        <v>7</v>
      </c>
      <c r="C5" s="209" t="s">
        <v>28</v>
      </c>
      <c r="D5" s="210"/>
      <c r="E5" s="104" t="s">
        <v>23</v>
      </c>
      <c r="F5" s="105">
        <v>35</v>
      </c>
      <c r="G5" s="106">
        <v>30</v>
      </c>
      <c r="H5" s="107">
        <v>25</v>
      </c>
      <c r="I5" s="108"/>
      <c r="J5" s="109"/>
      <c r="K5" s="110">
        <f>IF($E5=0," ",IF($E5=$D$31,VLOOKUP($C5,Règlement!$A$4:$T$7,12,FALSE),VLOOKUP($C5,Règlement!$A$4:$I$7,4,FALSE)))</f>
        <v>20</v>
      </c>
      <c r="L5" s="111">
        <f>IF($E5=0," ",IF($E5=$D$31,VLOOKUP($C5,Règlement!$A$4:$T$7,14,FALSE),VLOOKUP($C5,Règlement!$A$4:$L$7,5,FALSE)))</f>
        <v>35</v>
      </c>
      <c r="M5" s="110">
        <f>IF($E5=0," ",IF($E5=$D$31,VLOOKUP($C5,Règlement!$A$4:$T$7,15,FALSE),VLOOKUP($C5,Règlement!$A$4:$M$7,6,FALSE)))</f>
        <v>15</v>
      </c>
      <c r="N5" s="112">
        <f>IF($E5=0," ",IF($E5=$D$31,VLOOKUP($C5,Règlement!$A$4:$T$7,17,FALSE),VLOOKUP($C5,Règlement!$A$4:$N$7,7,FALSE)))</f>
        <v>30</v>
      </c>
      <c r="O5" s="113">
        <f>IF($E5=0," ",IF($E5=$D$31,VLOOKUP($C5,Règlement!$A$4:$T$7,18,FALSE),VLOOKUP($C5,Règlement!$A$4:$O$7,8,FALSE)))</f>
        <v>15</v>
      </c>
      <c r="P5" s="112">
        <f>IF($E5=0," ",IF($E5=$D$31,VLOOKUP($C5,Règlement!$A$4:$T$7,20,FALSE),VLOOKUP($C5,Règlement!$A$4:$P$7,9,FALSE)))</f>
        <v>25</v>
      </c>
      <c r="Q5" s="114">
        <f t="shared" ref="Q5:Q29" si="0">IF(LEFT(C5,1)="4","",IF(AND(C5="1 cible de 80 cm",OR(E5="Inconnues",E5="Connues")),30,P5))</f>
        <v>25</v>
      </c>
      <c r="R5" s="115" t="b" cm="1">
        <f t="array" ref="R5">IF(AND(E5="Connues",AC5&lt;&gt;"",
COUNTIFS(AC$6:AC$29,AC5,C$6:C$29,C5)&gt;1),
"Doublon",
IF(
AND(E5="Connues",
SUMPRODUCT(
(E$6:E$29="Connues")*
(C$6:C$29=C5)*
(ROW($6:$29)&lt;&gt;ROW())*
(ABS(F$6:F$29-F5)&lt;=2)*
(
(ABS(F$6:F$29-VLOOKUP(C5,Règlement!$A$4:$T$7,12,FALSE))&lt;=2)+
(ABS(F$6:F$29-VLOOKUP(C5,Règlement!$A$4:$T$7,13,FALSE))&lt;=2)+
(ABS(F$6:F$29-VLOOKUP(C5,Règlement!$A$4:$T$7,14,FALSE))&lt;=2)
)
)&gt;0
),
"Doublon",
IF(
$C5=0,
" ",
IF(
F5=0,
" ",
IF(
Règlement!$L$14="OUI",
AND(F5&gt;=K5-2,F5&lt;=L5+2),
OR(F5=K5,F5=K5+5,F5=L5)
)
)
)
))</f>
        <v>1</v>
      </c>
      <c r="S5" s="115" t="b" cm="1">
        <f t="array" ref="S5">IF(AND(E5="Connues",AD5&lt;&gt;"",
COUNTIFS(AD$6:AD$29,AD5,C$6:C$29,C5)&gt;1),
"Doublon",
IF(
AND(E5="Connues",
SUMPRODUCT(
(E$6:E$29="Connues")*
(C$6:C$29=C5)*
(ROW($6:$29)&lt;&gt;ROW())*
(ABS(G$6:G$29-G5)&lt;=2)*
(
(ABS(G$6:G$29-VLOOKUP(C5,Règlement!$A$4:$T$7,12,FALSE))&lt;=2)+
(ABS(F$6:F$29-VLOOKUP(C5,Règlement!$A$4:$T$7,13,FALSE))&lt;=2)+
(ABS(F$6:F$29-VLOOKUP(C5,Règlement!$A$4:$T$7,14,FALSE))&lt;=2)
)
)&gt;0
),
"Doublon",
IF(
$C5=0,
" ",
IF(
G5=0,
" ",
IF($C5=0," ",IF(G5=0," ",IF(Règlement!$L$14="OUI",AND(G5&gt;=M5-2,G5&lt;=N5+2),OR(G5=M5,G5=M5+5,G5=N5))))))))</f>
        <v>1</v>
      </c>
      <c r="T5" s="115" t="b" cm="1">
        <f t="array" ref="T5">IF(AND(E5="Connues",AE5&lt;&gt;"",
COUNTIFS(AE$6:AE$29,AE5,C$6:C$29,C5)&gt;1),
"Doublon",
IF(
AND(E5="Connues",
SUMPRODUCT(
(E$6:E$29="Connues")*
(C$6:C$29=C5)*
(ROW($6:$29)&lt;&gt;ROW())*
(ABS(H$6:H$29-H5)&lt;=2)*
(
(ABS(H$6:H$29-VLOOKUP(C5,Règlement!$A$4:$T$7,12,FALSE))&lt;=2)+
(ABS(H$6:H$29-VLOOKUP(C5,Règlement!$A$4:$T$7,13,FALSE))&lt;=2)+
(ABS(H$6:H$29-VLOOKUP(C5,Règlement!$A$4:$T$7,14,FALSE))&lt;=2)
)
)&gt;0
),
"Doublon",
IF(
$C5=0,
" ",
IF(
H5=0,
" ",IF($C5=0," ",IF(H5=0," ",IF(Règlement!$L$14="OUI",AND(H5&gt;=O5-2,H5&lt;=P5+2),OR(H5=O5,H5=O5+5,H5=P5))))))))</f>
        <v>1</v>
      </c>
      <c r="U5" s="116" t="str">
        <f>IF($C5=0," ",IF(I5=0," ",IF(Règlement!$L$14="OUI",AND(I5&gt;=O5-2,I5&lt;=Q5+2),OR(I5=O5,I5=O5+5,I5=Q5))))</f>
        <v xml:space="preserve"> </v>
      </c>
      <c r="V5" s="220" t="str">
        <f t="shared" ref="V5:V11" si="1">IF(OR(R5="Doublon",S5="Doublon"),"Doublon",IF(F5=0," ",IF(F5&gt;=G5,IF(AND(R5=TRUE,S5=TRUE),"ok","faux"),"faux")))</f>
        <v>ok</v>
      </c>
      <c r="W5" s="221"/>
      <c r="X5" s="221" t="str">
        <f t="shared" ref="X5:X11" si="2">IF(OR(S5="Doublon",T5="Doublon"),"Doublon",IF(G5=0," ",IF(G5&gt;=H5,IF(AND(S5=TRUE,T5=TRUE),"ok","faux"),"faux")))</f>
        <v>ok</v>
      </c>
      <c r="Y5" s="221"/>
      <c r="Z5" s="221" t="str">
        <f t="shared" ref="Z5:Z11" si="3">IF(OR(T5="Doublon",U5="Doublon"),"Doublon",IF(OR(H5=0,I5=0)," ",IF(H5&gt;=I5,IF(AND(T5=TRUE,U5=TRUE),"ok","faux"),"faux")))</f>
        <v xml:space="preserve"> </v>
      </c>
      <c r="AA5" s="237"/>
      <c r="AB5" s="117" t="str">
        <f>IF(AND(E5="Inconnues",LEFT(C5,1)="1",I5&gt;0),"Obligatoire",
IF(AND(E5="Connues",LEFT(C5,1)="1",I5&gt;0),"Possible",
IF(AND(E5="Inconnues",LEFT(C5,1)="1",I5=0),"Manque orange","")))</f>
        <v>Manque orange</v>
      </c>
      <c r="AC5" s="118" t="str">
        <f>IF(
  E5="Connues",
  IF(
    ABS(F5 - VLOOKUP(C5,Règlement!$A$4:$T$7,12,FALSE))&lt;=2,
    VLOOKUP(C5,Règlement!$A$4:$T$7,12,FALSE),
    IF(
      ABS(F5 - VLOOKUP(C5,Règlement!$A$4:$T$7,13,FALSE))&lt;=2,
      VLOOKUP(C5,Règlement!$A$4:$T$7,13,FALSE),
      IF(
        ABS(F5 - VLOOKUP(C5,Règlement!$A$4:$T$7,14,FALSE))&lt;=2,
        VLOOKUP(C5,Règlement!$A$4:$T$7,14,FALSE),
        ""
      )
    )
  ),
  ""
)</f>
        <v/>
      </c>
      <c r="AD5" s="118" t="str">
        <f>IF(
  E5="Connues",
  IF(
    ABS(G5 - VLOOKUP(C5,Règlement!$A$4:$T$7,15,FALSE))&lt;=2,
    VLOOKUP(C5,Règlement!$A$4:$T$7,15,FALSE),
    IF(
      ABS(G5 - VLOOKUP(C5,Règlement!$A$4:$T$7,16,FALSE))&lt;=2,
      VLOOKUP(C5,Règlement!$A$4:$T$7,16,FALSE),
      IF(
        ABS(G5 - VLOOKUP(C5,Règlement!$A$4:$T$7,17,FALSE))&lt;=2,
        VLOOKUP(C5,Règlement!$A$4:$T$7,17,FALSE),
        ""
      )
    )
  ),
  ""
)</f>
        <v/>
      </c>
      <c r="AE5" s="118" t="str">
        <f>IF(
  E5="Connues",
  IF(
    ABS(H5 - VLOOKUP(C5,Règlement!$A$4:$T$7,15,FALSE))&lt;=2,
    VLOOKUP(C5,Règlement!$A$4:$T$7,15,FALSE),
    IF(
      ABS(H5 - VLOOKUP(C5,Règlement!$A$4:$T$7,16,FALSE))&lt;=2,
      VLOOKUP(C5,Règlement!$A$4:$T$7,16,FALSE),
      IF(
        ABS(H5 - VLOOKUP(C5,Règlement!$A$4:$T$7,17,FALSE))&lt;=2,
        VLOOKUP(C5,Règlement!$A$4:$T$7,17,FALSE),
        ""
      )
    )
  ),
  ""
)</f>
        <v/>
      </c>
    </row>
    <row r="6" spans="1:31" ht="20.75" customHeight="1">
      <c r="A6" s="119">
        <v>1</v>
      </c>
      <c r="B6" s="256" t="s">
        <v>53</v>
      </c>
      <c r="C6" s="198"/>
      <c r="D6" s="198"/>
      <c r="E6" s="68"/>
      <c r="F6" s="71"/>
      <c r="G6" s="9"/>
      <c r="H6" s="43"/>
      <c r="I6" s="177"/>
      <c r="J6" s="120"/>
      <c r="K6" s="121" t="str">
        <f>IF($E6=0," ",IF($E6=$D$31,VLOOKUP($C6,Règlement!$A$4:$T$7,12,FALSE),VLOOKUP($C6,Règlement!$A$4:$I$7,4,FALSE)))</f>
        <v xml:space="preserve"> </v>
      </c>
      <c r="L6" s="122" t="str">
        <f>IF($E6=0," ",IF($E6=$D$31,VLOOKUP($C6,Règlement!$A$4:$T$7,14,FALSE),VLOOKUP($C6,Règlement!$A$4:$L$7,5,FALSE)))</f>
        <v xml:space="preserve"> </v>
      </c>
      <c r="M6" s="121" t="str">
        <f>IF($E6=0," ",IF($E6=$D$31,VLOOKUP($C6,Règlement!$A$4:$T$7,15,FALSE),VLOOKUP($C6,Règlement!$A$4:$M$7,6,FALSE)))</f>
        <v xml:space="preserve"> </v>
      </c>
      <c r="N6" s="123" t="str">
        <f>IF($E6=0," ",IF($E6=$D$31,VLOOKUP($C6,Règlement!$A$4:$T$7,17,FALSE),VLOOKUP($C6,Règlement!$A$4:$N$7,7,FALSE)))</f>
        <v xml:space="preserve"> </v>
      </c>
      <c r="O6" s="124" t="str">
        <f>IF($E6=0," ",IF($E6=$D$31,VLOOKUP($C6,Règlement!$A$4:$T$7,18,FALSE),VLOOKUP($C6,Règlement!$A$4:$O$7,8,FALSE)))</f>
        <v xml:space="preserve"> </v>
      </c>
      <c r="P6" s="123" t="str">
        <f>IF($E6=0," ",IF($E6=$D$31,VLOOKUP($C6,Règlement!$A$4:$T$7,20,FALSE),VLOOKUP($C6,Règlement!$A$4:$P$7,9,FALSE)))</f>
        <v xml:space="preserve"> </v>
      </c>
      <c r="Q6" s="125" t="str">
        <f t="shared" si="0"/>
        <v xml:space="preserve"> </v>
      </c>
      <c r="R6" s="126" t="str" cm="1">
        <f t="array" ref="R6">IF(C6=0," ",IF(AND(E6="Connues",AC6&lt;&gt;"",COUNTIFS(AC$6:AC$29,AC6,C$6:C$29,C6)&gt;1),"Doublon",IF(AND(E6="Connues",SUMPRODUCT((E$6:E$29="Connues")*(C$6:C$29=C6)*(ROW($6:$29)&lt;&gt;ROW())*(ABS(F$6:F$29-F6)&lt;=2)*((ABS(F$6:F$29-VLOOKUP(C6,Règlement!$A$4:$T$7,12,FALSE))&lt;=2)+(ABS(F$6:F$29-VLOOKUP(C6,Règlement!$A$4:$T$7,13,FALSE))&lt;=2)+(ABS(F$6:F$29-VLOOKUP(C6,Règlement!$A$4:$T$7,14,FALSE))&lt;=2)))&gt;0),"Doublon",IF($C6=0," ",IF(F6=0," ",IF(E6="Inconnues",AND(F6&gt;=K6,F6&lt;=L6),IF(AND(Règlement!$L$14="OUI",E6="Connues"),AND(F6&gt;=K6-2,F6&lt;=L6+2),OR(F6=K6,F6=K6+5,F6=L6))))))))</f>
        <v xml:space="preserve"> </v>
      </c>
      <c r="S6" s="127" t="str" cm="1">
        <f t="array" ref="S6">IF(C6=0," ",IF(AND(E6="Connues",AD6&lt;&gt;"",COUNTIFS(AD$6:AD$29,AD6,C$6:C$29,C6)&gt;1),"Doublon",IF(AND(E6="Connues",SUMPRODUCT((E$6:E$29="Connues")*(C$6:C$29=C6)*(ROW($6:$29)&lt;&gt;ROW())*(ABS(G$6:G$29-G6)&lt;=2)*((ABS(G$6:G$29-VLOOKUP(C6,Règlement!$A$4:$T$7,15,FALSE))&lt;=2)+(ABS(G$6:G$29-VLOOKUP(C6,Règlement!$A$4:$T$7,16,FALSE))&lt;=2)+(ABS(G$6:G$29-VLOOKUP(C6,Règlement!$A$4:$T$7,17,FALSE))&lt;=2)))&gt;0),"Doublon",IF($C6=0," ",IF(G6=0," ",IF(E6="Inconnues",AND(G6&gt;=M6,G6&lt;=N6),IF(AND(Règlement!$L$14="OUI",E6="Connues"),AND(G6&gt;=M6-2,G6&lt;=N6+2),OR(G6=M6,G6=M6+5,G6=N6))))))))</f>
        <v xml:space="preserve"> </v>
      </c>
      <c r="T6" s="127" t="str" cm="1">
        <f t="array" ref="T6">IF(C6=0," ",IF(AND(E6="Connues",AE6&lt;&gt;"",COUNTIFS(AE$6:AE$29,AE6,C$6:C$29,C6)&gt;1),"Doublon",IF(AND(E6="Connues",SUMPRODUCT((E$6:E$29="Connues")*(C$6:C$29=C6)*(ROW($6:$29)&lt;&gt;ROW())*(ABS(H$6:H$29-H6)&lt;=2)*((ABS(H$6:H$29-VLOOKUP(C6,Règlement!$A$4:$T$7,18,FALSE))&lt;=2)+(ABS(H$7:H$30-VLOOKUP(C6,Règlement!$A$4:$T$7,19,FALSE))&lt;=2)+(ABS(H$6:H$29-VLOOKUP(C6,Règlement!$A$4:$T$7,20,FALSE))&lt;=2)))&gt;0),"Doublon",IF($C6=0," ",IF(H6=0," ",IF(E6="Inconnues",AND(H6&gt;=O6,H6&lt;=P6),IF(AND(Règlement!$L$14="OUI",E6="Connues"),AND(H6&gt;=O6-2,H6&lt;=P6+2),OR(H6=O6,H6=O6+5,H6=P6))))))))</f>
        <v xml:space="preserve"> </v>
      </c>
      <c r="U6" s="128" t="str">
        <f>IF($C6=0," ",IF(I6=0," ",IF(Règlement!$L$14="OUI",AND(I6&gt;=O6-2,I6&lt;=Q6+2),OR(I6=O6,I6=O6+5,I6=Q6))))</f>
        <v xml:space="preserve"> </v>
      </c>
      <c r="V6" s="201" t="str">
        <f t="shared" si="1"/>
        <v xml:space="preserve"> </v>
      </c>
      <c r="W6" s="202"/>
      <c r="X6" s="202" t="str">
        <f t="shared" si="2"/>
        <v xml:space="preserve"> </v>
      </c>
      <c r="Y6" s="202"/>
      <c r="Z6" s="202" t="str">
        <f t="shared" si="3"/>
        <v xml:space="preserve"> </v>
      </c>
      <c r="AA6" s="238"/>
      <c r="AB6" s="129" t="str">
        <f t="shared" ref="AB6:AB29" si="4">IF(AND(E6="Inconnues",LEFT(C6,1)="1",I6&gt;0),"Obligatoire",
IF(AND(E6="Connues",LEFT(C6,1)="1",I6&gt;0),"Possible",
IF(AND(E6="Inconnues",LEFT(C6,1)="1",I6=0),"Manque orange","")))</f>
        <v/>
      </c>
      <c r="AC6" s="118" t="str">
        <f>IF(
  E6="Connues",
  IF(
    ABS(F6 - VLOOKUP(C6,Règlement!$A$4:$T$7,12,FALSE))&lt;=2,
    VLOOKUP(C6,Règlement!$A$4:$T$7,12,FALSE),
    IF(
      ABS(F6 - VLOOKUP(C6,Règlement!$A$4:$T$7,13,FALSE))&lt;=2,
      VLOOKUP(C6,Règlement!$A$4:$T$7,13,FALSE),
      IF(
        ABS(F6 - VLOOKUP(C6,Règlement!$A$4:$T$7,14,FALSE))&lt;=2,
        VLOOKUP(C6,Règlement!$A$4:$T$7,14,FALSE),
        ""
      )
    )
  ),
  ""
)</f>
        <v/>
      </c>
      <c r="AD6" s="118" t="str">
        <f>IF(
  E6="Connues",
  IF(
    ABS(G6 - VLOOKUP(C6,Règlement!$A$4:$T$7,15,FALSE))&lt;=2,
    VLOOKUP(C6,Règlement!$A$4:$T$7,15,FALSE),
    IF(
      ABS(G6 - VLOOKUP(C6,Règlement!$A$4:$T$7,16,FALSE))&lt;=2,
      VLOOKUP(C6,Règlement!$A$4:$T$7,16,FALSE),
      IF(
        ABS(G6 - VLOOKUP(C6,Règlement!$A$4:$T$7,17,FALSE))&lt;=2,
        VLOOKUP(C6,Règlement!$A$4:$T$7,17,FALSE),
        ""
      )
    )
  ),
  ""
)</f>
        <v/>
      </c>
      <c r="AE6" s="118" t="str">
        <f>IF(
  E6="Connues",
  IF(
    ABS(H6 - VLOOKUP(C6,Règlement!$A$4:$T$7,15,FALSE))&lt;=2,
    VLOOKUP(C6,Règlement!$A$4:$T$7,15,FALSE),
    IF(
      ABS(H6 - VLOOKUP(C6,Règlement!$A$4:$T$7,16,FALSE))&lt;=2,
      VLOOKUP(C6,Règlement!$A$4:$T$7,16,FALSE),
      IF(
        ABS(H6 - VLOOKUP(C6,Règlement!$A$4:$T$7,17,FALSE))&lt;=2,
        VLOOKUP(C6,Règlement!$A$4:$T$7,17,FALSE),
        ""
      )
    )
  ),
  ""
)</f>
        <v/>
      </c>
    </row>
    <row r="7" spans="1:31" ht="20.75" customHeight="1">
      <c r="A7" s="130">
        <v>2</v>
      </c>
      <c r="B7" s="12"/>
      <c r="C7" s="199"/>
      <c r="D7" s="199"/>
      <c r="E7" s="69"/>
      <c r="F7" s="72"/>
      <c r="G7" s="10"/>
      <c r="H7" s="44"/>
      <c r="I7" s="178"/>
      <c r="J7" s="120"/>
      <c r="K7" s="121" t="str">
        <f>IF($E7=0," ",IF($E7=$D$31,VLOOKUP($C7,Règlement!$A$4:$T$7,12,FALSE),VLOOKUP($C7,Règlement!$A$4:$I$7,4,FALSE)))</f>
        <v xml:space="preserve"> </v>
      </c>
      <c r="L7" s="122" t="str">
        <f>IF($E7=0," ",IF($E7=$D$31,VLOOKUP($C7,Règlement!$A$4:$T$7,14,FALSE),VLOOKUP($C7,Règlement!$A$4:$L$7,5,FALSE)))</f>
        <v xml:space="preserve"> </v>
      </c>
      <c r="M7" s="121" t="str">
        <f>IF($E7=0," ",IF($E7=$D$31,VLOOKUP($C7,Règlement!$A$4:$T$7,15,FALSE),VLOOKUP($C7,Règlement!$A$4:$M$7,6,FALSE)))</f>
        <v xml:space="preserve"> </v>
      </c>
      <c r="N7" s="123" t="str">
        <f>IF($E7=0," ",IF($E7=$D$31,VLOOKUP($C7,Règlement!$A$4:$T$7,17,FALSE),VLOOKUP($C7,Règlement!$A$4:$N$7,7,FALSE)))</f>
        <v xml:space="preserve"> </v>
      </c>
      <c r="O7" s="124" t="str">
        <f>IF($E7=0," ",IF($E7=$D$31,VLOOKUP($C7,Règlement!$A$4:$T$7,18,FALSE),VLOOKUP($C7,Règlement!$A$4:$O$7,8,FALSE)))</f>
        <v xml:space="preserve"> </v>
      </c>
      <c r="P7" s="123" t="str">
        <f>IF($E7=0," ",IF($E7=$D$31,VLOOKUP($C7,Règlement!$A$4:$T$7,20,FALSE),VLOOKUP($C7,Règlement!$A$4:$P$7,9,FALSE)))</f>
        <v xml:space="preserve"> </v>
      </c>
      <c r="Q7" s="131" t="str">
        <f t="shared" si="0"/>
        <v xml:space="preserve"> </v>
      </c>
      <c r="R7" s="132" t="str" cm="1">
        <f t="array" ref="R7">IF(C7=0," ",IF(AND(E7="Connues",AC7&lt;&gt;"",COUNTIFS(AC$6:AC$29,AC7,C$6:C$29,C7)&gt;1),"Doublon",IF(AND(E7="Connues",SUMPRODUCT((E$6:E$29="Connues")*(C$6:C$29=C7)*(ROW($6:$29)&lt;&gt;ROW())*(ABS(F$6:F$29-F7)&lt;=2)*((ABS(F$6:F$29-VLOOKUP(C7,Règlement!$A$4:$T$7,12,FALSE))&lt;=2)+(ABS(F$6:F$29-VLOOKUP(C7,Règlement!$A$4:$T$7,13,FALSE))&lt;=2)+(ABS(F$6:F$29-VLOOKUP(C7,Règlement!$A$4:$T$7,14,FALSE))&lt;=2)))&gt;0),"Doublon",IF($C7=0," ",IF(F7=0," ",IF(E7="Inconnues",AND(F7&gt;=K7,F7&lt;=L7),IF(AND(Règlement!$L$14="OUI",E7="Connues"),AND(F7&gt;=K7-2,F7&lt;=L7+2),OR(F7=K7,F7=K7+5,F7=L7))))))))</f>
        <v xml:space="preserve"> </v>
      </c>
      <c r="S7" s="133" t="str" cm="1">
        <f t="array" ref="S7">IF(C7=0," ",IF(AND(E7="Connues",AD7&lt;&gt;"",COUNTIFS(AD$6:AD$29,AD7,C$6:C$29,C7)&gt;1),"Doublon",IF(AND(E7="Connues",SUMPRODUCT((E$6:E$29="Connues")*(C$6:C$29=C7)*(ROW($6:$29)&lt;&gt;ROW())*(ABS(G$6:G$29-G7)&lt;=2)*((ABS(G$6:G$29-VLOOKUP(C7,Règlement!$A$4:$T$7,15,FALSE))&lt;=2)+(ABS(G$6:G$29-VLOOKUP(C7,Règlement!$A$4:$T$7,16,FALSE))&lt;=2)+(ABS(G$6:G$29-VLOOKUP(C7,Règlement!$A$4:$T$7,17,FALSE))&lt;=2)))&gt;0),"Doublon",IF($C7=0," ",IF(G7=0," ",IF(E7="Inconnues",AND(G7&gt;=M7,G7&lt;=N7),IF(AND(Règlement!$L$14="OUI",E7="Connues"),AND(G7&gt;=M7-2,G7&lt;=N7+2),OR(G7=M7,G7=M7+5,G7=N7))))))))</f>
        <v xml:space="preserve"> </v>
      </c>
      <c r="T7" s="133" t="str" cm="1">
        <f t="array" ref="T7">IF(C7=0," ",IF(AND(E7="Connues",AE7&lt;&gt;"",COUNTIFS(AE$6:AE$29,AE7,C$6:C$29,C7)&gt;1),"Doublon",IF(AND(E7="Connues",SUMPRODUCT((E$6:E$29="Connues")*(C$6:C$29=C7)*(ROW($6:$29)&lt;&gt;ROW())*(ABS(H$6:H$29-H7)&lt;=2)*((ABS(H$6:H$29-VLOOKUP(C7,Règlement!$A$4:$T$7,18,FALSE))&lt;=2)+(ABS(H$7:H$30-VLOOKUP(C7,Règlement!$A$4:$T$7,19,FALSE))&lt;=2)+(ABS(H$6:H$29-VLOOKUP(C7,Règlement!$A$4:$T$7,20,FALSE))&lt;=2)))&gt;0),"Doublon",IF($C7=0," ",IF(H7=0," ",IF(E7="Inconnues",AND(H7&gt;=O7,H7&lt;=P7),IF(AND(Règlement!$L$14="OUI",E7="Connues"),AND(H7&gt;=O7-2,H7&lt;=P7+2),OR(H7=O7,H7=O7+5,H7=P7))))))))</f>
        <v xml:space="preserve"> </v>
      </c>
      <c r="U7" s="129" t="str">
        <f>IF($C7=0," ",IF(I7=0," ",IF(Règlement!$L$14="OUI",AND(I7&gt;=O7-2,I7&lt;=Q7+2),OR(I7=O7,I7=O7+5,I7=Q7))))</f>
        <v xml:space="preserve"> </v>
      </c>
      <c r="V7" s="190" t="str">
        <f t="shared" si="1"/>
        <v xml:space="preserve"> </v>
      </c>
      <c r="W7" s="182"/>
      <c r="X7" s="182" t="str">
        <f t="shared" si="2"/>
        <v xml:space="preserve"> </v>
      </c>
      <c r="Y7" s="182"/>
      <c r="Z7" s="182" t="str">
        <f t="shared" si="3"/>
        <v xml:space="preserve"> </v>
      </c>
      <c r="AA7" s="183"/>
      <c r="AB7" s="134" t="str">
        <f t="shared" si="4"/>
        <v/>
      </c>
      <c r="AC7" s="118" t="str">
        <f>IF(
  E7="Connues",
  IF(
    ABS(F7 - VLOOKUP(C7,Règlement!$A$4:$T$7,12,FALSE))&lt;=2,
    VLOOKUP(C7,Règlement!$A$4:$T$7,12,FALSE),
    IF(
      ABS(F7 - VLOOKUP(C7,Règlement!$A$4:$T$7,13,FALSE))&lt;=2,
      VLOOKUP(C7,Règlement!$A$4:$T$7,13,FALSE),
      IF(
        ABS(F7 - VLOOKUP(C7,Règlement!$A$4:$T$7,14,FALSE))&lt;=2,
        VLOOKUP(C7,Règlement!$A$4:$T$7,14,FALSE),
        ""
      )
    )
  ),
  ""
)</f>
        <v/>
      </c>
      <c r="AD7" s="118" t="str">
        <f>IF(
  E7="Connues",
  IF(
    ABS(G7 - VLOOKUP(C7,Règlement!$A$4:$T$7,15,FALSE))&lt;=2,
    VLOOKUP(C7,Règlement!$A$4:$T$7,15,FALSE),
    IF(
      ABS(G7 - VLOOKUP(C7,Règlement!$A$4:$T$7,16,FALSE))&lt;=2,
      VLOOKUP(C7,Règlement!$A$4:$T$7,16,FALSE),
      IF(
        ABS(G7 - VLOOKUP(C7,Règlement!$A$4:$T$7,17,FALSE))&lt;=2,
        VLOOKUP(C7,Règlement!$A$4:$T$7,17,FALSE),
        ""
      )
    )
  ),
  ""
)</f>
        <v/>
      </c>
      <c r="AE7" s="118" t="str">
        <f>IF(
  E7="Connues",
  IF(
    ABS(H7 - VLOOKUP(C7,Règlement!$A$4:$T$7,15,FALSE))&lt;=2,
    VLOOKUP(C7,Règlement!$A$4:$T$7,15,FALSE),
    IF(
      ABS(H7 - VLOOKUP(C7,Règlement!$A$4:$T$7,16,FALSE))&lt;=2,
      VLOOKUP(C7,Règlement!$A$4:$T$7,16,FALSE),
      IF(
        ABS(H7 - VLOOKUP(C7,Règlement!$A$4:$T$7,17,FALSE))&lt;=2,
        VLOOKUP(C7,Règlement!$A$4:$T$7,17,FALSE),
        ""
      )
    )
  ),
  ""
)</f>
        <v/>
      </c>
    </row>
    <row r="8" spans="1:31" ht="20.75" customHeight="1">
      <c r="A8" s="130">
        <v>3</v>
      </c>
      <c r="B8" s="12"/>
      <c r="C8" s="199"/>
      <c r="D8" s="199"/>
      <c r="E8" s="69"/>
      <c r="F8" s="72"/>
      <c r="G8" s="10"/>
      <c r="H8" s="44"/>
      <c r="I8" s="178"/>
      <c r="J8" s="120"/>
      <c r="K8" s="121" t="str">
        <f>IF($E8=0," ",IF($E8=$D$31,VLOOKUP($C8,Règlement!$A$4:$T$7,12,FALSE),VLOOKUP($C8,Règlement!$A$4:$I$7,4,FALSE)))</f>
        <v xml:space="preserve"> </v>
      </c>
      <c r="L8" s="122" t="str">
        <f>IF($E8=0," ",IF($E8=$D$31,VLOOKUP($C8,Règlement!$A$4:$T$7,14,FALSE),VLOOKUP($C8,Règlement!$A$4:$L$7,5,FALSE)))</f>
        <v xml:space="preserve"> </v>
      </c>
      <c r="M8" s="121" t="str">
        <f>IF($E8=0," ",IF($E8=$D$31,VLOOKUP($C8,Règlement!$A$4:$T$7,15,FALSE),VLOOKUP($C8,Règlement!$A$4:$M$7,6,FALSE)))</f>
        <v xml:space="preserve"> </v>
      </c>
      <c r="N8" s="123" t="str">
        <f>IF($E8=0," ",IF($E8=$D$31,VLOOKUP($C8,Règlement!$A$4:$T$7,17,FALSE),VLOOKUP($C8,Règlement!$A$4:$N$7,7,FALSE)))</f>
        <v xml:space="preserve"> </v>
      </c>
      <c r="O8" s="124" t="str">
        <f>IF($E8=0," ",IF($E8=$D$31,VLOOKUP($C8,Règlement!$A$4:$T$7,18,FALSE),VLOOKUP($C8,Règlement!$A$4:$O$7,8,FALSE)))</f>
        <v xml:space="preserve"> </v>
      </c>
      <c r="P8" s="123" t="str">
        <f>IF($E8=0," ",IF($E8=$D$31,VLOOKUP($C8,Règlement!$A$4:$T$7,20,FALSE),VLOOKUP($C8,Règlement!$A$4:$P$7,9,FALSE)))</f>
        <v xml:space="preserve"> </v>
      </c>
      <c r="Q8" s="131" t="str">
        <f t="shared" si="0"/>
        <v xml:space="preserve"> </v>
      </c>
      <c r="R8" s="132" t="str" cm="1">
        <f t="array" ref="R8">IF(C8=0," ",IF(AND(E8="Connues",AC8&lt;&gt;"",COUNTIFS(AC$6:AC$29,AC8,C$6:C$29,C8)&gt;1),"Doublon",IF(AND(E8="Connues",SUMPRODUCT((E$6:E$29="Connues")*(C$6:C$29=C8)*(ROW($6:$29)&lt;&gt;ROW())*(ABS(F$6:F$29-F8)&lt;=2)*((ABS(F$6:F$29-VLOOKUP(C8,Règlement!$A$4:$T$7,12,FALSE))&lt;=2)+(ABS(F$6:F$29-VLOOKUP(C8,Règlement!$A$4:$T$7,13,FALSE))&lt;=2)+(ABS(F$6:F$29-VLOOKUP(C8,Règlement!$A$4:$T$7,14,FALSE))&lt;=2)))&gt;0),"Doublon",IF($C8=0," ",IF(F8=0," ",IF(E8="Inconnues",AND(F8&gt;=K8,F8&lt;=L8),IF(AND(Règlement!$L$14="OUI",E8="Connues"),AND(F8&gt;=K8-2,F8&lt;=L8+2),OR(F8=K8,F8=K8+5,F8=L8))))))))</f>
        <v xml:space="preserve"> </v>
      </c>
      <c r="S8" s="133" t="str" cm="1">
        <f t="array" ref="S8">IF(C8=0," ",IF(AND(E8="Connues",AD8&lt;&gt;"",COUNTIFS(AD$6:AD$29,AD8,C$6:C$29,C8)&gt;1),"Doublon",IF(AND(E8="Connues",SUMPRODUCT((E$6:E$29="Connues")*(C$6:C$29=C8)*(ROW($6:$29)&lt;&gt;ROW())*(ABS(G$6:G$29-G8)&lt;=2)*((ABS(G$6:G$29-VLOOKUP(C8,Règlement!$A$4:$T$7,15,FALSE))&lt;=2)+(ABS(G$6:G$29-VLOOKUP(C8,Règlement!$A$4:$T$7,16,FALSE))&lt;=2)+(ABS(G$6:G$29-VLOOKUP(C8,Règlement!$A$4:$T$7,17,FALSE))&lt;=2)))&gt;0),"Doublon",IF($C8=0," ",IF(G8=0," ",IF(E8="Inconnues",AND(G8&gt;=M8,G8&lt;=N8),IF(AND(Règlement!$L$14="OUI",E8="Connues"),AND(G8&gt;=M8-2,G8&lt;=N8+2),OR(G8=M8,G8=M8+5,G8=N8))))))))</f>
        <v xml:space="preserve"> </v>
      </c>
      <c r="T8" s="133" t="str" cm="1">
        <f t="array" ref="T8">IF(C8=0," ",IF(AND(E8="Connues",AE8&lt;&gt;"",COUNTIFS(AE$6:AE$29,AE8,C$6:C$29,C8)&gt;1),"Doublon",IF(AND(E8="Connues",SUMPRODUCT((E$6:E$29="Connues")*(C$6:C$29=C8)*(ROW($6:$29)&lt;&gt;ROW())*(ABS(H$6:H$29-H8)&lt;=2)*((ABS(H$6:H$29-VLOOKUP(C8,Règlement!$A$4:$T$7,18,FALSE))&lt;=2)+(ABS(H$7:H$30-VLOOKUP(C8,Règlement!$A$4:$T$7,19,FALSE))&lt;=2)+(ABS(H$6:H$29-VLOOKUP(C8,Règlement!$A$4:$T$7,20,FALSE))&lt;=2)))&gt;0),"Doublon",IF($C8=0," ",IF(H8=0," ",IF(E8="Inconnues",AND(H8&gt;=O8,H8&lt;=P8),IF(AND(Règlement!$L$14="OUI",E8="Connues"),AND(H8&gt;=O8-2,H8&lt;=P8+2),OR(H8=O8,H8=O8+5,H8=P8))))))))</f>
        <v xml:space="preserve"> </v>
      </c>
      <c r="U8" s="129" t="str">
        <f>IF($C8=0," ",IF(I8=0," ",IF(Règlement!$L$14="OUI",AND(I8&gt;=O8-2,I8&lt;=Q8+2),OR(I8=O8,I8=O8+5,I8=Q8))))</f>
        <v xml:space="preserve"> </v>
      </c>
      <c r="V8" s="190" t="str">
        <f t="shared" si="1"/>
        <v xml:space="preserve"> </v>
      </c>
      <c r="W8" s="182"/>
      <c r="X8" s="182" t="str">
        <f t="shared" si="2"/>
        <v xml:space="preserve"> </v>
      </c>
      <c r="Y8" s="182"/>
      <c r="Z8" s="182" t="str">
        <f t="shared" si="3"/>
        <v xml:space="preserve"> </v>
      </c>
      <c r="AA8" s="183"/>
      <c r="AB8" s="134" t="str">
        <f t="shared" si="4"/>
        <v/>
      </c>
      <c r="AC8" s="118" t="str">
        <f>IF(
  E8="Connues",
  IF(
    ABS(F8 - VLOOKUP(C8,Règlement!$A$4:$T$7,12,FALSE))&lt;=2,
    VLOOKUP(C8,Règlement!$A$4:$T$7,12,FALSE),
    IF(
      ABS(F8 - VLOOKUP(C8,Règlement!$A$4:$T$7,13,FALSE))&lt;=2,
      VLOOKUP(C8,Règlement!$A$4:$T$7,13,FALSE),
      IF(
        ABS(F8 - VLOOKUP(C8,Règlement!$A$4:$T$7,14,FALSE))&lt;=2,
        VLOOKUP(C8,Règlement!$A$4:$T$7,14,FALSE),
        ""
      )
    )
  ),
  ""
)</f>
        <v/>
      </c>
      <c r="AD8" s="118" t="str">
        <f>IF(
  E8="Connues",
  IF(
    ABS(G8 - VLOOKUP(C8,Règlement!$A$4:$T$7,15,FALSE))&lt;=2,
    VLOOKUP(C8,Règlement!$A$4:$T$7,15,FALSE),
    IF(
      ABS(G8 - VLOOKUP(C8,Règlement!$A$4:$T$7,16,FALSE))&lt;=2,
      VLOOKUP(C8,Règlement!$A$4:$T$7,16,FALSE),
      IF(
        ABS(G8 - VLOOKUP(C8,Règlement!$A$4:$T$7,17,FALSE))&lt;=2,
        VLOOKUP(C8,Règlement!$A$4:$T$7,17,FALSE),
        ""
      )
    )
  ),
  ""
)</f>
        <v/>
      </c>
      <c r="AE8" s="118" t="str">
        <f>IF(
  E8="Connues",
  IF(
    ABS(H8 - VLOOKUP(C8,Règlement!$A$4:$T$7,15,FALSE))&lt;=2,
    VLOOKUP(C8,Règlement!$A$4:$T$7,15,FALSE),
    IF(
      ABS(H8 - VLOOKUP(C8,Règlement!$A$4:$T$7,16,FALSE))&lt;=2,
      VLOOKUP(C8,Règlement!$A$4:$T$7,16,FALSE),
      IF(
        ABS(H8 - VLOOKUP(C8,Règlement!$A$4:$T$7,17,FALSE))&lt;=2,
        VLOOKUP(C8,Règlement!$A$4:$T$7,17,FALSE),
        ""
      )
    )
  ),
  ""
)</f>
        <v/>
      </c>
    </row>
    <row r="9" spans="1:31" ht="20.75" customHeight="1">
      <c r="A9" s="130">
        <v>4</v>
      </c>
      <c r="B9" s="12"/>
      <c r="C9" s="188"/>
      <c r="D9" s="189"/>
      <c r="E9" s="69"/>
      <c r="F9" s="72"/>
      <c r="G9" s="10"/>
      <c r="H9" s="44"/>
      <c r="I9" s="178"/>
      <c r="J9" s="120"/>
      <c r="K9" s="121" t="str">
        <f>IF($E9=0," ",IF($E9=$D$31,VLOOKUP($C9,Règlement!$A$4:$T$7,12,FALSE),VLOOKUP($C9,Règlement!$A$4:$I$7,4,FALSE)))</f>
        <v xml:space="preserve"> </v>
      </c>
      <c r="L9" s="122" t="str">
        <f>IF($E9=0," ",IF($E9=$D$31,VLOOKUP($C9,Règlement!$A$4:$T$7,14,FALSE),VLOOKUP($C9,Règlement!$A$4:$L$7,5,FALSE)))</f>
        <v xml:space="preserve"> </v>
      </c>
      <c r="M9" s="121" t="str">
        <f>IF($E9=0," ",IF($E9=$D$31,VLOOKUP($C9,Règlement!$A$4:$T$7,15,FALSE),VLOOKUP($C9,Règlement!$A$4:$M$7,6,FALSE)))</f>
        <v xml:space="preserve"> </v>
      </c>
      <c r="N9" s="123" t="str">
        <f>IF($E9=0," ",IF($E9=$D$31,VLOOKUP($C9,Règlement!$A$4:$T$7,17,FALSE),VLOOKUP($C9,Règlement!$A$4:$N$7,7,FALSE)))</f>
        <v xml:space="preserve"> </v>
      </c>
      <c r="O9" s="124" t="str">
        <f>IF($E9=0," ",IF($E9=$D$31,VLOOKUP($C9,Règlement!$A$4:$T$7,18,FALSE),VLOOKUP($C9,Règlement!$A$4:$O$7,8,FALSE)))</f>
        <v xml:space="preserve"> </v>
      </c>
      <c r="P9" s="123" t="str">
        <f>IF($E9=0," ",IF($E9=$D$31,VLOOKUP($C9,Règlement!$A$4:$T$7,20,FALSE),VLOOKUP($C9,Règlement!$A$4:$P$7,9,FALSE)))</f>
        <v xml:space="preserve"> </v>
      </c>
      <c r="Q9" s="131" t="str">
        <f t="shared" si="0"/>
        <v xml:space="preserve"> </v>
      </c>
      <c r="R9" s="132" t="str" cm="1">
        <f t="array" ref="R9">IF(C9=0," ",IF(AND(E9="Connues",AC9&lt;&gt;"",COUNTIFS(AC$6:AC$29,AC9,C$6:C$29,C9)&gt;1),"Doublon",IF(AND(E9="Connues",SUMPRODUCT((E$6:E$29="Connues")*(C$6:C$29=C9)*(ROW($6:$29)&lt;&gt;ROW())*(ABS(F$6:F$29-F9)&lt;=2)*((ABS(F$6:F$29-VLOOKUP(C9,Règlement!$A$4:$T$7,12,FALSE))&lt;=2)+(ABS(F$6:F$29-VLOOKUP(C9,Règlement!$A$4:$T$7,13,FALSE))&lt;=2)+(ABS(F$6:F$29-VLOOKUP(C9,Règlement!$A$4:$T$7,14,FALSE))&lt;=2)))&gt;0),"Doublon",IF($C9=0," ",IF(F9=0," ",IF(E9="Inconnues",AND(F9&gt;=K9,F9&lt;=L9),IF(AND(Règlement!$L$14="OUI",E9="Connues"),AND(F9&gt;=K9-2,F9&lt;=L9+2),OR(F9=K9,F9=K9+5,F9=L9))))))))</f>
        <v xml:space="preserve"> </v>
      </c>
      <c r="S9" s="133" t="str" cm="1">
        <f t="array" ref="S9">IF(C9=0," ",IF(AND(E9="Connues",AD9&lt;&gt;"",COUNTIFS(AD$6:AD$29,AD9,C$6:C$29,C9)&gt;1),"Doublon",IF(AND(E9="Connues",SUMPRODUCT((E$6:E$29="Connues")*(C$6:C$29=C9)*(ROW($6:$29)&lt;&gt;ROW())*(ABS(G$6:G$29-G9)&lt;=2)*((ABS(G$6:G$29-VLOOKUP(C9,Règlement!$A$4:$T$7,15,FALSE))&lt;=2)+(ABS(G$6:G$29-VLOOKUP(C9,Règlement!$A$4:$T$7,16,FALSE))&lt;=2)+(ABS(G$6:G$29-VLOOKUP(C9,Règlement!$A$4:$T$7,17,FALSE))&lt;=2)))&gt;0),"Doublon",IF($C9=0," ",IF(G9=0," ",IF(E9="Inconnues",AND(G9&gt;=M9,G9&lt;=N9),IF(AND(Règlement!$L$14="OUI",E9="Connues"),AND(G9&gt;=M9-2,G9&lt;=N9+2),OR(G9=M9,G9=M9+5,G9=N9))))))))</f>
        <v xml:space="preserve"> </v>
      </c>
      <c r="T9" s="133" t="str" cm="1">
        <f t="array" ref="T9">IF(C9=0," ",IF(AND(E9="Connues",AE9&lt;&gt;"",COUNTIFS(AE$6:AE$29,AE9,C$6:C$29,C9)&gt;1),"Doublon",IF(AND(E9="Connues",SUMPRODUCT((E$6:E$29="Connues")*(C$6:C$29=C9)*(ROW($6:$29)&lt;&gt;ROW())*(ABS(H$6:H$29-H9)&lt;=2)*((ABS(H$6:H$29-VLOOKUP(C9,Règlement!$A$4:$T$7,18,FALSE))&lt;=2)+(ABS(H$7:H$30-VLOOKUP(C9,Règlement!$A$4:$T$7,19,FALSE))&lt;=2)+(ABS(H$6:H$29-VLOOKUP(C9,Règlement!$A$4:$T$7,20,FALSE))&lt;=2)))&gt;0),"Doublon",IF($C9=0," ",IF(H9=0," ",IF(E9="Inconnues",AND(H9&gt;=O9,H9&lt;=P9),IF(AND(Règlement!$L$14="OUI",E9="Connues"),AND(H9&gt;=O9-2,H9&lt;=P9+2),OR(H9=O9,H9=O9+5,H9=P9))))))))</f>
        <v xml:space="preserve"> </v>
      </c>
      <c r="U9" s="129" t="str">
        <f>IF($C9=0," ",IF(I9=0," ",IF(Règlement!$L$14="OUI",AND(I9&gt;=O9-2,I9&lt;=Q9+2),OR(I9=O9,I9=O9+5,I9=Q9))))</f>
        <v xml:space="preserve"> </v>
      </c>
      <c r="V9" s="190" t="str">
        <f t="shared" si="1"/>
        <v xml:space="preserve"> </v>
      </c>
      <c r="W9" s="182"/>
      <c r="X9" s="182" t="str">
        <f t="shared" si="2"/>
        <v xml:space="preserve"> </v>
      </c>
      <c r="Y9" s="182"/>
      <c r="Z9" s="182" t="str">
        <f t="shared" si="3"/>
        <v xml:space="preserve"> </v>
      </c>
      <c r="AA9" s="183"/>
      <c r="AB9" s="134" t="str">
        <f t="shared" si="4"/>
        <v/>
      </c>
      <c r="AC9" s="118" t="str">
        <f>IF(
  E9="Connues",
  IF(
    ABS(F9 - VLOOKUP(C9,Règlement!$A$4:$T$7,12,FALSE))&lt;=2,
    VLOOKUP(C9,Règlement!$A$4:$T$7,12,FALSE),
    IF(
      ABS(F9 - VLOOKUP(C9,Règlement!$A$4:$T$7,13,FALSE))&lt;=2,
      VLOOKUP(C9,Règlement!$A$4:$T$7,13,FALSE),
      IF(
        ABS(F9 - VLOOKUP(C9,Règlement!$A$4:$T$7,14,FALSE))&lt;=2,
        VLOOKUP(C9,Règlement!$A$4:$T$7,14,FALSE),
        ""
      )
    )
  ),
  ""
)</f>
        <v/>
      </c>
      <c r="AD9" s="118" t="str">
        <f>IF(
  E9="Connues",
  IF(
    ABS(G9 - VLOOKUP(C9,Règlement!$A$4:$T$7,15,FALSE))&lt;=2,
    VLOOKUP(C9,Règlement!$A$4:$T$7,15,FALSE),
    IF(
      ABS(G9 - VLOOKUP(C9,Règlement!$A$4:$T$7,16,FALSE))&lt;=2,
      VLOOKUP(C9,Règlement!$A$4:$T$7,16,FALSE),
      IF(
        ABS(G9 - VLOOKUP(C9,Règlement!$A$4:$T$7,17,FALSE))&lt;=2,
        VLOOKUP(C9,Règlement!$A$4:$T$7,17,FALSE),
        ""
      )
    )
  ),
  ""
)</f>
        <v/>
      </c>
      <c r="AE9" s="118" t="str">
        <f>IF(
  E9="Connues",
  IF(
    ABS(H9 - VLOOKUP(C9,Règlement!$A$4:$T$7,15,FALSE))&lt;=2,
    VLOOKUP(C9,Règlement!$A$4:$T$7,15,FALSE),
    IF(
      ABS(H9 - VLOOKUP(C9,Règlement!$A$4:$T$7,16,FALSE))&lt;=2,
      VLOOKUP(C9,Règlement!$A$4:$T$7,16,FALSE),
      IF(
        ABS(H9 - VLOOKUP(C9,Règlement!$A$4:$T$7,17,FALSE))&lt;=2,
        VLOOKUP(C9,Règlement!$A$4:$T$7,17,FALSE),
        ""
      )
    )
  ),
  ""
)</f>
        <v/>
      </c>
    </row>
    <row r="10" spans="1:31" ht="20.75" customHeight="1">
      <c r="A10" s="130">
        <v>5</v>
      </c>
      <c r="B10" s="12"/>
      <c r="C10" s="188"/>
      <c r="D10" s="189"/>
      <c r="E10" s="69"/>
      <c r="F10" s="72"/>
      <c r="G10" s="10"/>
      <c r="H10" s="44"/>
      <c r="I10" s="178"/>
      <c r="J10" s="120"/>
      <c r="K10" s="121" t="str">
        <f>IF($E10=0," ",IF($E10=$D$31,VLOOKUP($C10,Règlement!$A$4:$T$7,12,FALSE),VLOOKUP($C10,Règlement!$A$4:$I$7,4,FALSE)))</f>
        <v xml:space="preserve"> </v>
      </c>
      <c r="L10" s="122" t="str">
        <f>IF($E10=0," ",IF($E10=$D$31,VLOOKUP($C10,Règlement!$A$4:$T$7,14,FALSE),VLOOKUP($C10,Règlement!$A$4:$L$7,5,FALSE)))</f>
        <v xml:space="preserve"> </v>
      </c>
      <c r="M10" s="121" t="str">
        <f>IF($E10=0," ",IF($E10=$D$31,VLOOKUP($C10,Règlement!$A$4:$T$7,15,FALSE),VLOOKUP($C10,Règlement!$A$4:$M$7,6,FALSE)))</f>
        <v xml:space="preserve"> </v>
      </c>
      <c r="N10" s="123" t="str">
        <f>IF($E10=0," ",IF($E10=$D$31,VLOOKUP($C10,Règlement!$A$4:$T$7,17,FALSE),VLOOKUP($C10,Règlement!$A$4:$N$7,7,FALSE)))</f>
        <v xml:space="preserve"> </v>
      </c>
      <c r="O10" s="124" t="str">
        <f>IF($E10=0," ",IF($E10=$D$31,VLOOKUP($C10,Règlement!$A$4:$T$7,18,FALSE),VLOOKUP($C10,Règlement!$A$4:$O$7,8,FALSE)))</f>
        <v xml:space="preserve"> </v>
      </c>
      <c r="P10" s="123" t="str">
        <f>IF($E10=0," ",IF($E10=$D$31,VLOOKUP($C10,Règlement!$A$4:$T$7,20,FALSE),VLOOKUP($C10,Règlement!$A$4:$P$7,9,FALSE)))</f>
        <v xml:space="preserve"> </v>
      </c>
      <c r="Q10" s="131" t="str">
        <f t="shared" si="0"/>
        <v xml:space="preserve"> </v>
      </c>
      <c r="R10" s="132" t="str" cm="1">
        <f t="array" ref="R10">IF(C10=0," ",IF(AND(E10="Connues",AC10&lt;&gt;"",COUNTIFS(AC$6:AC$29,AC10,C$6:C$29,C10)&gt;1),"Doublon",IF(AND(E10="Connues",SUMPRODUCT((E$6:E$29="Connues")*(C$6:C$29=C10)*(ROW($6:$29)&lt;&gt;ROW())*(ABS(F$6:F$29-F10)&lt;=2)*((ABS(F$6:F$29-VLOOKUP(C10,Règlement!$A$4:$T$7,12,FALSE))&lt;=2)+(ABS(F$6:F$29-VLOOKUP(C10,Règlement!$A$4:$T$7,13,FALSE))&lt;=2)+(ABS(F$6:F$29-VLOOKUP(C10,Règlement!$A$4:$T$7,14,FALSE))&lt;=2)))&gt;0),"Doublon",IF($C10=0," ",IF(F10=0," ",IF(E10="Inconnues",AND(F10&gt;=K10,F10&lt;=L10),IF(AND(Règlement!$L$14="OUI",E10="Connues"),AND(F10&gt;=K10-2,F10&lt;=L10+2),OR(F10=K10,F10=K10+5,F10=L10))))))))</f>
        <v xml:space="preserve"> </v>
      </c>
      <c r="S10" s="133" t="str" cm="1">
        <f t="array" ref="S10">IF(C10=0," ",IF(AND(E10="Connues",AD10&lt;&gt;"",COUNTIFS(AD$6:AD$29,AD10,C$6:C$29,C10)&gt;1),"Doublon",IF(AND(E10="Connues",SUMPRODUCT((E$6:E$29="Connues")*(C$6:C$29=C10)*(ROW($6:$29)&lt;&gt;ROW())*(ABS(G$6:G$29-G10)&lt;=2)*((ABS(G$6:G$29-VLOOKUP(C10,Règlement!$A$4:$T$7,15,FALSE))&lt;=2)+(ABS(G$6:G$29-VLOOKUP(C10,Règlement!$A$4:$T$7,16,FALSE))&lt;=2)+(ABS(G$6:G$29-VLOOKUP(C10,Règlement!$A$4:$T$7,17,FALSE))&lt;=2)))&gt;0),"Doublon",IF($C10=0," ",IF(G10=0," ",IF(E10="Inconnues",AND(G10&gt;=M10,G10&lt;=N10),IF(AND(Règlement!$L$14="OUI",E10="Connues"),AND(G10&gt;=M10-2,G10&lt;=N10+2),OR(G10=M10,G10=M10+5,G10=N10))))))))</f>
        <v xml:space="preserve"> </v>
      </c>
      <c r="T10" s="133" t="str" cm="1">
        <f t="array" ref="T10">IF(C10=0," ",IF(AND(E10="Connues",AE10&lt;&gt;"",COUNTIFS(AE$6:AE$29,AE10,C$6:C$29,C10)&gt;1),"Doublon",IF(AND(E10="Connues",SUMPRODUCT((E$6:E$29="Connues")*(C$6:C$29=C10)*(ROW($6:$29)&lt;&gt;ROW())*(ABS(H$6:H$29-H10)&lt;=2)*((ABS(H$6:H$29-VLOOKUP(C10,Règlement!$A$4:$T$7,18,FALSE))&lt;=2)+(ABS(H$7:H$30-VLOOKUP(C10,Règlement!$A$4:$T$7,19,FALSE))&lt;=2)+(ABS(H$6:H$29-VLOOKUP(C10,Règlement!$A$4:$T$7,20,FALSE))&lt;=2)))&gt;0),"Doublon",IF($C10=0," ",IF(H10=0," ",IF(E10="Inconnues",AND(H10&gt;=O10,H10&lt;=P10),IF(AND(Règlement!$L$14="OUI",E10="Connues"),AND(H10&gt;=O10-2,H10&lt;=P10+2),OR(H10=O10,H10=O10+5,H10=P10))))))))</f>
        <v xml:space="preserve"> </v>
      </c>
      <c r="U10" s="129" t="str">
        <f>IF($C10=0," ",IF(I10=0," ",IF(Règlement!$L$14="OUI",AND(I10&gt;=O10-2,I10&lt;=Q10+2),OR(I10=O10,I10=O10+5,I10=Q10))))</f>
        <v xml:space="preserve"> </v>
      </c>
      <c r="V10" s="190" t="str">
        <f t="shared" si="1"/>
        <v xml:space="preserve"> </v>
      </c>
      <c r="W10" s="182"/>
      <c r="X10" s="182" t="str">
        <f t="shared" si="2"/>
        <v xml:space="preserve"> </v>
      </c>
      <c r="Y10" s="182"/>
      <c r="Z10" s="182" t="str">
        <f t="shared" si="3"/>
        <v xml:space="preserve"> </v>
      </c>
      <c r="AA10" s="183"/>
      <c r="AB10" s="134" t="str">
        <f t="shared" si="4"/>
        <v/>
      </c>
      <c r="AC10" s="118" t="str">
        <f>IF(
  E10="Connues",
  IF(
    ABS(F10 - VLOOKUP(C10,Règlement!$A$4:$T$7,12,FALSE))&lt;=2,
    VLOOKUP(C10,Règlement!$A$4:$T$7,12,FALSE),
    IF(
      ABS(F10 - VLOOKUP(C10,Règlement!$A$4:$T$7,13,FALSE))&lt;=2,
      VLOOKUP(C10,Règlement!$A$4:$T$7,13,FALSE),
      IF(
        ABS(F10 - VLOOKUP(C10,Règlement!$A$4:$T$7,14,FALSE))&lt;=2,
        VLOOKUP(C10,Règlement!$A$4:$T$7,14,FALSE),
        ""
      )
    )
  ),
  ""
)</f>
        <v/>
      </c>
      <c r="AD10" s="118" t="str">
        <f>IF(
  E10="Connues",
  IF(
    ABS(G10 - VLOOKUP(C10,Règlement!$A$4:$T$7,15,FALSE))&lt;=2,
    VLOOKUP(C10,Règlement!$A$4:$T$7,15,FALSE),
    IF(
      ABS(G10 - VLOOKUP(C10,Règlement!$A$4:$T$7,16,FALSE))&lt;=2,
      VLOOKUP(C10,Règlement!$A$4:$T$7,16,FALSE),
      IF(
        ABS(G10 - VLOOKUP(C10,Règlement!$A$4:$T$7,17,FALSE))&lt;=2,
        VLOOKUP(C10,Règlement!$A$4:$T$7,17,FALSE),
        ""
      )
    )
  ),
  ""
)</f>
        <v/>
      </c>
      <c r="AE10" s="118" t="str">
        <f>IF(
  E10="Connues",
  IF(
    ABS(H10 - VLOOKUP(C10,Règlement!$A$4:$T$7,15,FALSE))&lt;=2,
    VLOOKUP(C10,Règlement!$A$4:$T$7,15,FALSE),
    IF(
      ABS(H10 - VLOOKUP(C10,Règlement!$A$4:$T$7,16,FALSE))&lt;=2,
      VLOOKUP(C10,Règlement!$A$4:$T$7,16,FALSE),
      IF(
        ABS(H10 - VLOOKUP(C10,Règlement!$A$4:$T$7,17,FALSE))&lt;=2,
        VLOOKUP(C10,Règlement!$A$4:$T$7,17,FALSE),
        ""
      )
    )
  ),
  ""
)</f>
        <v/>
      </c>
    </row>
    <row r="11" spans="1:31" ht="20.75" customHeight="1">
      <c r="A11" s="130">
        <v>6</v>
      </c>
      <c r="B11" s="12"/>
      <c r="C11" s="188"/>
      <c r="D11" s="189"/>
      <c r="E11" s="69"/>
      <c r="F11" s="71"/>
      <c r="G11" s="9"/>
      <c r="H11" s="43"/>
      <c r="I11" s="178"/>
      <c r="J11" s="120"/>
      <c r="K11" s="121" t="str">
        <f>IF($E11=0," ",IF($E11=$D$31,VLOOKUP($C11,Règlement!$A$4:$T$7,12,FALSE),VLOOKUP($C11,Règlement!$A$4:$I$7,4,FALSE)))</f>
        <v xml:space="preserve"> </v>
      </c>
      <c r="L11" s="122" t="str">
        <f>IF($E11=0," ",IF($E11=$D$31,VLOOKUP($C11,Règlement!$A$4:$T$7,14,FALSE),VLOOKUP($C11,Règlement!$A$4:$L$7,5,FALSE)))</f>
        <v xml:space="preserve"> </v>
      </c>
      <c r="M11" s="121" t="str">
        <f>IF($E11=0," ",IF($E11=$D$31,VLOOKUP($C11,Règlement!$A$4:$T$7,15,FALSE),VLOOKUP($C11,Règlement!$A$4:$M$7,6,FALSE)))</f>
        <v xml:space="preserve"> </v>
      </c>
      <c r="N11" s="123" t="str">
        <f>IF($E11=0," ",IF($E11=$D$31,VLOOKUP($C11,Règlement!$A$4:$T$7,17,FALSE),VLOOKUP($C11,Règlement!$A$4:$N$7,7,FALSE)))</f>
        <v xml:space="preserve"> </v>
      </c>
      <c r="O11" s="124" t="str">
        <f>IF($E11=0," ",IF($E11=$D$31,VLOOKUP($C11,Règlement!$A$4:$T$7,18,FALSE),VLOOKUP($C11,Règlement!$A$4:$O$7,8,FALSE)))</f>
        <v xml:space="preserve"> </v>
      </c>
      <c r="P11" s="123" t="str">
        <f>IF($E11=0," ",IF($E11=$D$31,VLOOKUP($C11,Règlement!$A$4:$T$7,20,FALSE),VLOOKUP($C11,Règlement!$A$4:$P$7,9,FALSE)))</f>
        <v xml:space="preserve"> </v>
      </c>
      <c r="Q11" s="131" t="str">
        <f t="shared" si="0"/>
        <v xml:space="preserve"> </v>
      </c>
      <c r="R11" s="132" t="str" cm="1">
        <f t="array" ref="R11">IF(C11=0," ",IF(AND(E11="Connues",AC11&lt;&gt;"",COUNTIFS(AC$6:AC$29,AC11,C$6:C$29,C11)&gt;1),"Doublon",IF(AND(E11="Connues",SUMPRODUCT((E$6:E$29="Connues")*(C$6:C$29=C11)*(ROW($6:$29)&lt;&gt;ROW())*(ABS(F$6:F$29-F11)&lt;=2)*((ABS(F$6:F$29-VLOOKUP(C11,Règlement!$A$4:$T$7,12,FALSE))&lt;=2)+(ABS(F$6:F$29-VLOOKUP(C11,Règlement!$A$4:$T$7,13,FALSE))&lt;=2)+(ABS(F$6:F$29-VLOOKUP(C11,Règlement!$A$4:$T$7,14,FALSE))&lt;=2)))&gt;0),"Doublon",IF($C11=0," ",IF(F11=0," ",IF(E11="Inconnues",AND(F11&gt;=K11,F11&lt;=L11),IF(AND(Règlement!$L$14="OUI",E11="Connues"),AND(F11&gt;=K11-2,F11&lt;=L11+2),OR(F11=K11,F11=K11+5,F11=L11))))))))</f>
        <v xml:space="preserve"> </v>
      </c>
      <c r="S11" s="133" t="str" cm="1">
        <f t="array" ref="S11">IF(C11=0," ",IF(AND(E11="Connues",AD11&lt;&gt;"",COUNTIFS(AD$6:AD$29,AD11,C$6:C$29,C11)&gt;1),"Doublon",IF(AND(E11="Connues",SUMPRODUCT((E$6:E$29="Connues")*(C$6:C$29=C11)*(ROW($6:$29)&lt;&gt;ROW())*(ABS(G$6:G$29-G11)&lt;=2)*((ABS(G$6:G$29-VLOOKUP(C11,Règlement!$A$4:$T$7,15,FALSE))&lt;=2)+(ABS(G$6:G$29-VLOOKUP(C11,Règlement!$A$4:$T$7,16,FALSE))&lt;=2)+(ABS(G$6:G$29-VLOOKUP(C11,Règlement!$A$4:$T$7,17,FALSE))&lt;=2)))&gt;0),"Doublon",IF($C11=0," ",IF(G11=0," ",IF(E11="Inconnues",AND(G11&gt;=M11,G11&lt;=N11),IF(AND(Règlement!$L$14="OUI",E11="Connues"),AND(G11&gt;=M11-2,G11&lt;=N11+2),OR(G11=M11,G11=M11+5,G11=N11))))))))</f>
        <v xml:space="preserve"> </v>
      </c>
      <c r="T11" s="133" t="str" cm="1">
        <f t="array" ref="T11">IF(C11=0," ",IF(AND(E11="Connues",AE11&lt;&gt;"",COUNTIFS(AE$6:AE$29,AE11,C$6:C$29,C11)&gt;1),"Doublon",IF(AND(E11="Connues",SUMPRODUCT((E$6:E$29="Connues")*(C$6:C$29=C11)*(ROW($6:$29)&lt;&gt;ROW())*(ABS(H$6:H$29-H11)&lt;=2)*((ABS(H$6:H$29-VLOOKUP(C11,Règlement!$A$4:$T$7,18,FALSE))&lt;=2)+(ABS(H$7:H$30-VLOOKUP(C11,Règlement!$A$4:$T$7,19,FALSE))&lt;=2)+(ABS(H$6:H$29-VLOOKUP(C11,Règlement!$A$4:$T$7,20,FALSE))&lt;=2)))&gt;0),"Doublon",IF($C11=0," ",IF(H11=0," ",IF(E11="Inconnues",AND(H11&gt;=O11,H11&lt;=P11),IF(AND(Règlement!$L$14="OUI",E11="Connues"),AND(H11&gt;=O11-2,H11&lt;=P11+2),OR(H11=O11,H11=O11+5,H11=P11))))))))</f>
        <v xml:space="preserve"> </v>
      </c>
      <c r="U11" s="129" t="str">
        <f>IF($C11=0," ",IF(I11=0," ",IF(Règlement!$L$14="OUI",AND(I11&gt;=O11-2,I11&lt;=Q11+2),OR(I11=O11,I11=O11+5,I11=Q11))))</f>
        <v xml:space="preserve"> </v>
      </c>
      <c r="V11" s="190" t="str">
        <f t="shared" si="1"/>
        <v xml:space="preserve"> </v>
      </c>
      <c r="W11" s="182"/>
      <c r="X11" s="182" t="str">
        <f t="shared" si="2"/>
        <v xml:space="preserve"> </v>
      </c>
      <c r="Y11" s="182"/>
      <c r="Z11" s="182" t="str">
        <f t="shared" si="3"/>
        <v xml:space="preserve"> </v>
      </c>
      <c r="AA11" s="183"/>
      <c r="AB11" s="134" t="str">
        <f t="shared" si="4"/>
        <v/>
      </c>
      <c r="AC11" s="118" t="str">
        <f>IF(
  E11="Connues",
  IF(
    ABS(F11 - VLOOKUP(C11,Règlement!$A$4:$T$7,12,FALSE))&lt;=2,
    VLOOKUP(C11,Règlement!$A$4:$T$7,12,FALSE),
    IF(
      ABS(F11 - VLOOKUP(C11,Règlement!$A$4:$T$7,13,FALSE))&lt;=2,
      VLOOKUP(C11,Règlement!$A$4:$T$7,13,FALSE),
      IF(
        ABS(F11 - VLOOKUP(C11,Règlement!$A$4:$T$7,14,FALSE))&lt;=2,
        VLOOKUP(C11,Règlement!$A$4:$T$7,14,FALSE),
        ""
      )
    )
  ),
  ""
)</f>
        <v/>
      </c>
      <c r="AD11" s="118" t="str">
        <f>IF(
  E11="Connues",
  IF(
    ABS(G11 - VLOOKUP(C11,Règlement!$A$4:$T$7,15,FALSE))&lt;=2,
    VLOOKUP(C11,Règlement!$A$4:$T$7,15,FALSE),
    IF(
      ABS(G11 - VLOOKUP(C11,Règlement!$A$4:$T$7,16,FALSE))&lt;=2,
      VLOOKUP(C11,Règlement!$A$4:$T$7,16,FALSE),
      IF(
        ABS(G11 - VLOOKUP(C11,Règlement!$A$4:$T$7,17,FALSE))&lt;=2,
        VLOOKUP(C11,Règlement!$A$4:$T$7,17,FALSE),
        ""
      )
    )
  ),
  ""
)</f>
        <v/>
      </c>
      <c r="AE11" s="118" t="str">
        <f>IF(
  E11="Connues",
  IF(
    ABS(H11 - VLOOKUP(C11,Règlement!$A$4:$T$7,15,FALSE))&lt;=2,
    VLOOKUP(C11,Règlement!$A$4:$T$7,15,FALSE),
    IF(
      ABS(H11 - VLOOKUP(C11,Règlement!$A$4:$T$7,16,FALSE))&lt;=2,
      VLOOKUP(C11,Règlement!$A$4:$T$7,16,FALSE),
      IF(
        ABS(H11 - VLOOKUP(C11,Règlement!$A$4:$T$7,17,FALSE))&lt;=2,
        VLOOKUP(C11,Règlement!$A$4:$T$7,17,FALSE),
        ""
      )
    )
  ),
  ""
)</f>
        <v/>
      </c>
    </row>
    <row r="12" spans="1:31" ht="20.75" customHeight="1">
      <c r="A12" s="130">
        <v>7</v>
      </c>
      <c r="B12" s="12"/>
      <c r="C12" s="188"/>
      <c r="D12" s="189"/>
      <c r="E12" s="69"/>
      <c r="F12" s="72"/>
      <c r="G12" s="10"/>
      <c r="H12" s="44"/>
      <c r="I12" s="178"/>
      <c r="J12" s="120"/>
      <c r="K12" s="121" t="str">
        <f>IF($E12=0," ",IF($E12=$D$31,VLOOKUP($C12,Règlement!$A$4:$T$7,12,FALSE),VLOOKUP($C12,Règlement!$A$4:$I$7,4,FALSE)))</f>
        <v xml:space="preserve"> </v>
      </c>
      <c r="L12" s="122" t="str">
        <f>IF($E12=0," ",IF($E12=$D$31,VLOOKUP($C12,Règlement!$A$4:$T$7,14,FALSE),VLOOKUP($C12,Règlement!$A$4:$L$7,5,FALSE)))</f>
        <v xml:space="preserve"> </v>
      </c>
      <c r="M12" s="121" t="str">
        <f>IF($E12=0," ",IF($E12=$D$31,VLOOKUP($C12,Règlement!$A$4:$T$7,15,FALSE),VLOOKUP($C12,Règlement!$A$4:$M$7,6,FALSE)))</f>
        <v xml:space="preserve"> </v>
      </c>
      <c r="N12" s="123" t="str">
        <f>IF($E12=0," ",IF($E12=$D$31,VLOOKUP($C12,Règlement!$A$4:$T$7,17,FALSE),VLOOKUP($C12,Règlement!$A$4:$N$7,7,FALSE)))</f>
        <v xml:space="preserve"> </v>
      </c>
      <c r="O12" s="124" t="str">
        <f>IF($E12=0," ",IF($E12=$D$31,VLOOKUP($C12,Règlement!$A$4:$T$7,18,FALSE),VLOOKUP($C12,Règlement!$A$4:$O$7,8,FALSE)))</f>
        <v xml:space="preserve"> </v>
      </c>
      <c r="P12" s="123" t="str">
        <f>IF($E12=0," ",IF($E12=$D$31,VLOOKUP($C12,Règlement!$A$4:$T$7,20,FALSE),VLOOKUP($C12,Règlement!$A$4:$P$7,9,FALSE)))</f>
        <v xml:space="preserve"> </v>
      </c>
      <c r="Q12" s="131" t="str">
        <f t="shared" si="0"/>
        <v xml:space="preserve"> </v>
      </c>
      <c r="R12" s="132" t="str" cm="1">
        <f t="array" ref="R12">IF(C12=0," ",IF(AND(E12="Connues",AC12&lt;&gt;"",COUNTIFS(AC$6:AC$29,AC12,C$6:C$29,C12)&gt;1),"Doublon",IF(AND(E12="Connues",SUMPRODUCT((E$6:E$29="Connues")*(C$6:C$29=C12)*(ROW($6:$29)&lt;&gt;ROW())*(ABS(F$6:F$29-F12)&lt;=2)*((ABS(F$6:F$29-VLOOKUP(C12,Règlement!$A$4:$T$7,12,FALSE))&lt;=2)+(ABS(F$6:F$29-VLOOKUP(C12,Règlement!$A$4:$T$7,13,FALSE))&lt;=2)+(ABS(F$6:F$29-VLOOKUP(C12,Règlement!$A$4:$T$7,14,FALSE))&lt;=2)))&gt;0),"Doublon",IF($C12=0," ",IF(F12=0," ",IF(E12="Inconnues",AND(F12&gt;=K12,F12&lt;=L12),IF(AND(Règlement!$L$14="OUI",E12="Connues"),AND(F12&gt;=K12-2,F12&lt;=L12+2),OR(F12=K12,F12=K12+5,F12=L12))))))))</f>
        <v xml:space="preserve"> </v>
      </c>
      <c r="S12" s="133" t="str" cm="1">
        <f t="array" ref="S12">IF(C12=0," ",IF(AND(E12="Connues",AD12&lt;&gt;"",COUNTIFS(AD$6:AD$29,AD12,C$6:C$29,C12)&gt;1),"Doublon",IF(AND(E12="Connues",SUMPRODUCT((E$6:E$29="Connues")*(C$6:C$29=C12)*(ROW($6:$29)&lt;&gt;ROW())*(ABS(G$6:G$29-G12)&lt;=2)*((ABS(G$6:G$29-VLOOKUP(C12,Règlement!$A$4:$T$7,15,FALSE))&lt;=2)+(ABS(G$6:G$29-VLOOKUP(C12,Règlement!$A$4:$T$7,16,FALSE))&lt;=2)+(ABS(G$6:G$29-VLOOKUP(C12,Règlement!$A$4:$T$7,17,FALSE))&lt;=2)))&gt;0),"Doublon",IF($C12=0," ",IF(G12=0," ",IF(E12="Inconnues",AND(G12&gt;=M12,G12&lt;=N12),IF(AND(Règlement!$L$14="OUI",E12="Connues"),AND(G12&gt;=M12-2,G12&lt;=N12+2),OR(G12=M12,G12=M12+5,G12=N12))))))))</f>
        <v xml:space="preserve"> </v>
      </c>
      <c r="T12" s="133" t="str" cm="1">
        <f t="array" ref="T12">IF(C12=0," ",IF(AND(E12="Connues",AE12&lt;&gt;"",COUNTIFS(AE$6:AE$29,AE12,C$6:C$29,C12)&gt;1),"Doublon",IF(AND(E12="Connues",SUMPRODUCT((E$6:E$29="Connues")*(C$6:C$29=C12)*(ROW($6:$29)&lt;&gt;ROW())*(ABS(H$6:H$29-H12)&lt;=2)*((ABS(H$6:H$29-VLOOKUP(C12,Règlement!$A$4:$T$7,18,FALSE))&lt;=2)+(ABS(H$7:H$30-VLOOKUP(C12,Règlement!$A$4:$T$7,19,FALSE))&lt;=2)+(ABS(H$6:H$29-VLOOKUP(C12,Règlement!$A$4:$T$7,20,FALSE))&lt;=2)))&gt;0),"Doublon",IF($C12=0," ",IF(H12=0," ",IF(E12="Inconnues",AND(H12&gt;=O12,H12&lt;=P12),IF(AND(Règlement!$L$14="OUI",E12="Connues"),AND(H12&gt;=O12-2,H12&lt;=P12+2),OR(H12=O12,H12=O12+5,H12=P12))))))))</f>
        <v xml:space="preserve"> </v>
      </c>
      <c r="U12" s="129" t="str">
        <f>IF($C12=0," ",IF(I12=0," ",IF(Règlement!$L$14="OUI",AND(I12&gt;=O12-2,I12&lt;=Q12+2),OR(I12=O12,I12=O12+5,I12=Q12))))</f>
        <v xml:space="preserve"> </v>
      </c>
      <c r="V12" s="190" t="str">
        <f>IF(OR(R12="Doublon",S12="Doublon"),"Doublon",IF(F12=0," ",IF(F12&gt;=G12,IF(AND(R12=TRUE,S12=TRUE),"ok","faux"),"faux")))</f>
        <v xml:space="preserve"> </v>
      </c>
      <c r="W12" s="182"/>
      <c r="X12" s="182" t="str">
        <f>IF(OR(S12="Doublon",T12="Doublon"),"Doublon",IF(G12=0," ",IF(G12&gt;=H12,IF(AND(S12=TRUE,T12=TRUE),"ok","faux"),"faux")))</f>
        <v xml:space="preserve"> </v>
      </c>
      <c r="Y12" s="182"/>
      <c r="Z12" s="182" t="str">
        <f>IF(OR(T12="Doublon",U12="Doublon"),"Doublon",IF(OR(H12=0,I12=0)," ",IF(H12&gt;=I12,IF(AND(T12=TRUE,U12=TRUE),"ok","faux"),"faux")))</f>
        <v xml:space="preserve"> </v>
      </c>
      <c r="AA12" s="183"/>
      <c r="AB12" s="134" t="str">
        <f t="shared" si="4"/>
        <v/>
      </c>
      <c r="AC12" s="118" t="str">
        <f>IF(
  E12="Connues",
  IF(
    ABS(F12 - VLOOKUP(C12,Règlement!$A$4:$T$7,12,FALSE))&lt;=2,
    VLOOKUP(C12,Règlement!$A$4:$T$7,12,FALSE),
    IF(
      ABS(F12 - VLOOKUP(C12,Règlement!$A$4:$T$7,13,FALSE))&lt;=2,
      VLOOKUP(C12,Règlement!$A$4:$T$7,13,FALSE),
      IF(
        ABS(F12 - VLOOKUP(C12,Règlement!$A$4:$T$7,14,FALSE))&lt;=2,
        VLOOKUP(C12,Règlement!$A$4:$T$7,14,FALSE),
        ""
      )
    )
  ),
  ""
)</f>
        <v/>
      </c>
      <c r="AD12" s="118" t="str">
        <f>IF(
  E12="Connues",
  IF(
    ABS(G12 - VLOOKUP(C12,Règlement!$A$4:$T$7,15,FALSE))&lt;=2,
    VLOOKUP(C12,Règlement!$A$4:$T$7,15,FALSE),
    IF(
      ABS(G12 - VLOOKUP(C12,Règlement!$A$4:$T$7,16,FALSE))&lt;=2,
      VLOOKUP(C12,Règlement!$A$4:$T$7,16,FALSE),
      IF(
        ABS(G12 - VLOOKUP(C12,Règlement!$A$4:$T$7,17,FALSE))&lt;=2,
        VLOOKUP(C12,Règlement!$A$4:$T$7,17,FALSE),
        ""
      )
    )
  ),
  ""
)</f>
        <v/>
      </c>
      <c r="AE12" s="118" t="str">
        <f>IF(
  E12="Connues",
  IF(
    ABS(H12 - VLOOKUP(C12,Règlement!$A$4:$T$7,15,FALSE))&lt;=2,
    VLOOKUP(C12,Règlement!$A$4:$T$7,15,FALSE),
    IF(
      ABS(H12 - VLOOKUP(C12,Règlement!$A$4:$T$7,16,FALSE))&lt;=2,
      VLOOKUP(C12,Règlement!$A$4:$T$7,16,FALSE),
      IF(
        ABS(H12 - VLOOKUP(C12,Règlement!$A$4:$T$7,17,FALSE))&lt;=2,
        VLOOKUP(C12,Règlement!$A$4:$T$7,17,FALSE),
        ""
      )
    )
  ),
  ""
)</f>
        <v/>
      </c>
    </row>
    <row r="13" spans="1:31" ht="20.75" customHeight="1">
      <c r="A13" s="130">
        <v>8</v>
      </c>
      <c r="B13" s="12"/>
      <c r="C13" s="188"/>
      <c r="D13" s="189"/>
      <c r="E13" s="69"/>
      <c r="F13" s="72"/>
      <c r="G13" s="10"/>
      <c r="H13" s="44"/>
      <c r="I13" s="178"/>
      <c r="J13" s="120"/>
      <c r="K13" s="121" t="str">
        <f>IF($E13=0," ",IF($E13=$D$31,VLOOKUP($C13,Règlement!$A$4:$T$7,12,FALSE),VLOOKUP($C13,Règlement!$A$4:$I$7,4,FALSE)))</f>
        <v xml:space="preserve"> </v>
      </c>
      <c r="L13" s="122" t="str">
        <f>IF($E13=0," ",IF($E13=$D$31,VLOOKUP($C13,Règlement!$A$4:$T$7,14,FALSE),VLOOKUP($C13,Règlement!$A$4:$L$7,5,FALSE)))</f>
        <v xml:space="preserve"> </v>
      </c>
      <c r="M13" s="121" t="str">
        <f>IF($E13=0," ",IF($E13=$D$31,VLOOKUP($C13,Règlement!$A$4:$T$7,15,FALSE),VLOOKUP($C13,Règlement!$A$4:$M$7,6,FALSE)))</f>
        <v xml:space="preserve"> </v>
      </c>
      <c r="N13" s="123" t="str">
        <f>IF($E13=0," ",IF($E13=$D$31,VLOOKUP($C13,Règlement!$A$4:$T$7,17,FALSE),VLOOKUP($C13,Règlement!$A$4:$N$7,7,FALSE)))</f>
        <v xml:space="preserve"> </v>
      </c>
      <c r="O13" s="124" t="str">
        <f>IF($E13=0," ",IF($E13=$D$31,VLOOKUP($C13,Règlement!$A$4:$T$7,18,FALSE),VLOOKUP($C13,Règlement!$A$4:$O$7,8,FALSE)))</f>
        <v xml:space="preserve"> </v>
      </c>
      <c r="P13" s="123" t="str">
        <f>IF($E13=0," ",IF($E13=$D$31,VLOOKUP($C13,Règlement!$A$4:$T$7,20,FALSE),VLOOKUP($C13,Règlement!$A$4:$P$7,9,FALSE)))</f>
        <v xml:space="preserve"> </v>
      </c>
      <c r="Q13" s="131" t="str">
        <f t="shared" si="0"/>
        <v xml:space="preserve"> </v>
      </c>
      <c r="R13" s="132" t="str" cm="1">
        <f t="array" ref="R13">IF(C13=0," ",IF(AND(E13="Connues",AC13&lt;&gt;"",COUNTIFS(AC$6:AC$29,AC13,C$6:C$29,C13)&gt;1),"Doublon",IF(AND(E13="Connues",SUMPRODUCT((E$6:E$29="Connues")*(C$6:C$29=C13)*(ROW($6:$29)&lt;&gt;ROW())*(ABS(F$6:F$29-F13)&lt;=2)*((ABS(F$6:F$29-VLOOKUP(C13,Règlement!$A$4:$T$7,12,FALSE))&lt;=2)+(ABS(F$6:F$29-VLOOKUP(C13,Règlement!$A$4:$T$7,13,FALSE))&lt;=2)+(ABS(F$6:F$29-VLOOKUP(C13,Règlement!$A$4:$T$7,14,FALSE))&lt;=2)))&gt;0),"Doublon",IF($C13=0," ",IF(F13=0," ",IF(E13="Inconnues",AND(F13&gt;=K13,F13&lt;=L13),IF(AND(Règlement!$L$14="OUI",E13="Connues"),AND(F13&gt;=K13-2,F13&lt;=L13+2),OR(F13=K13,F13=K13+5,F13=L13))))))))</f>
        <v xml:space="preserve"> </v>
      </c>
      <c r="S13" s="133" t="str" cm="1">
        <f t="array" ref="S13">IF(C13=0," ",IF(AND(E13="Connues",AD13&lt;&gt;"",COUNTIFS(AD$6:AD$29,AD13,C$6:C$29,C13)&gt;1),"Doublon",IF(AND(E13="Connues",SUMPRODUCT((E$6:E$29="Connues")*(C$6:C$29=C13)*(ROW($6:$29)&lt;&gt;ROW())*(ABS(G$6:G$29-G13)&lt;=2)*((ABS(G$6:G$29-VLOOKUP(C13,Règlement!$A$4:$T$7,15,FALSE))&lt;=2)+(ABS(G$6:G$29-VLOOKUP(C13,Règlement!$A$4:$T$7,16,FALSE))&lt;=2)+(ABS(G$6:G$29-VLOOKUP(C13,Règlement!$A$4:$T$7,17,FALSE))&lt;=2)))&gt;0),"Doublon",IF($C13=0," ",IF(G13=0," ",IF(E13="Inconnues",AND(G13&gt;=M13,G13&lt;=N13),IF(AND(Règlement!$L$14="OUI",E13="Connues"),AND(G13&gt;=M13-2,G13&lt;=N13+2),OR(G13=M13,G13=M13+5,G13=N13))))))))</f>
        <v xml:space="preserve"> </v>
      </c>
      <c r="T13" s="133" t="str" cm="1">
        <f t="array" ref="T13">IF(C13=0," ",IF(AND(E13="Connues",AE13&lt;&gt;"",COUNTIFS(AE$6:AE$29,AE13,C$6:C$29,C13)&gt;1),"Doublon",IF(AND(E13="Connues",SUMPRODUCT((E$6:E$29="Connues")*(C$6:C$29=C13)*(ROW($6:$29)&lt;&gt;ROW())*(ABS(H$6:H$29-H13)&lt;=2)*((ABS(H$6:H$29-VLOOKUP(C13,Règlement!$A$4:$T$7,18,FALSE))&lt;=2)+(ABS(H$7:H$30-VLOOKUP(C13,Règlement!$A$4:$T$7,19,FALSE))&lt;=2)+(ABS(H$6:H$29-VLOOKUP(C13,Règlement!$A$4:$T$7,20,FALSE))&lt;=2)))&gt;0),"Doublon",IF($C13=0," ",IF(H13=0," ",IF(E13="Inconnues",AND(H13&gt;=O13,H13&lt;=P13),IF(AND(Règlement!$L$14="OUI",E13="Connues"),AND(H13&gt;=O13-2,H13&lt;=P13+2),OR(H13=O13,H13=O13+5,H13=P13))))))))</f>
        <v xml:space="preserve"> </v>
      </c>
      <c r="U13" s="129" t="str">
        <f>IF($C13=0," ",IF(I13=0," ",IF(Règlement!$L$14="OUI",AND(I13&gt;=O13-2,I13&lt;=Q13+2),OR(I13=O13,I13=O13+5,I13=Q13))))</f>
        <v xml:space="preserve"> </v>
      </c>
      <c r="V13" s="190" t="str">
        <f t="shared" ref="V13:V29" si="5">IF(OR(R13="Doublon",S13="Doublon"),"Doublon",IF(F13=0," ",IF(F13&gt;=G13,IF(AND(R13=TRUE,S13=TRUE),"ok","faux"),"faux")))</f>
        <v xml:space="preserve"> </v>
      </c>
      <c r="W13" s="182"/>
      <c r="X13" s="182" t="str">
        <f t="shared" ref="X13:X29" si="6">IF(OR(S13="Doublon",T13="Doublon"),"Doublon",IF(G13=0," ",IF(G13&gt;=H13,IF(AND(S13=TRUE,T13=TRUE),"ok","faux"),"faux")))</f>
        <v xml:space="preserve"> </v>
      </c>
      <c r="Y13" s="182"/>
      <c r="Z13" s="182" t="str">
        <f t="shared" ref="Z13:Z29" si="7">IF(OR(T13="Doublon",U13="Doublon"),"Doublon",IF(OR(H13=0,I13=0)," ",IF(H13&gt;=I13,IF(AND(T13=TRUE,U13=TRUE),"ok","faux"),"faux")))</f>
        <v xml:space="preserve"> </v>
      </c>
      <c r="AA13" s="183"/>
      <c r="AB13" s="134" t="str">
        <f t="shared" si="4"/>
        <v/>
      </c>
      <c r="AC13" s="118" t="str">
        <f>IF(
  E13="Connues",
  IF(
    ABS(F13 - VLOOKUP(C13,Règlement!$A$4:$T$7,12,FALSE))&lt;=2,
    VLOOKUP(C13,Règlement!$A$4:$T$7,12,FALSE),
    IF(
      ABS(F13 - VLOOKUP(C13,Règlement!$A$4:$T$7,13,FALSE))&lt;=2,
      VLOOKUP(C13,Règlement!$A$4:$T$7,13,FALSE),
      IF(
        ABS(F13 - VLOOKUP(C13,Règlement!$A$4:$T$7,14,FALSE))&lt;=2,
        VLOOKUP(C13,Règlement!$A$4:$T$7,14,FALSE),
        ""
      )
    )
  ),
  ""
)</f>
        <v/>
      </c>
      <c r="AD13" s="118" t="str">
        <f>IF(
  E13="Connues",
  IF(
    ABS(G13 - VLOOKUP(C13,Règlement!$A$4:$T$7,15,FALSE))&lt;=2,
    VLOOKUP(C13,Règlement!$A$4:$T$7,15,FALSE),
    IF(
      ABS(G13 - VLOOKUP(C13,Règlement!$A$4:$T$7,16,FALSE))&lt;=2,
      VLOOKUP(C13,Règlement!$A$4:$T$7,16,FALSE),
      IF(
        ABS(G13 - VLOOKUP(C13,Règlement!$A$4:$T$7,17,FALSE))&lt;=2,
        VLOOKUP(C13,Règlement!$A$4:$T$7,17,FALSE),
        ""
      )
    )
  ),
  ""
)</f>
        <v/>
      </c>
      <c r="AE13" s="118" t="str">
        <f>IF(
  E13="Connues",
  IF(
    ABS(H13 - VLOOKUP(C13,Règlement!$A$4:$T$7,15,FALSE))&lt;=2,
    VLOOKUP(C13,Règlement!$A$4:$T$7,15,FALSE),
    IF(
      ABS(H13 - VLOOKUP(C13,Règlement!$A$4:$T$7,16,FALSE))&lt;=2,
      VLOOKUP(C13,Règlement!$A$4:$T$7,16,FALSE),
      IF(
        ABS(H13 - VLOOKUP(C13,Règlement!$A$4:$T$7,17,FALSE))&lt;=2,
        VLOOKUP(C13,Règlement!$A$4:$T$7,17,FALSE),
        ""
      )
    )
  ),
  ""
)</f>
        <v/>
      </c>
    </row>
    <row r="14" spans="1:31" ht="20.75" customHeight="1">
      <c r="A14" s="130">
        <v>9</v>
      </c>
      <c r="B14" s="12"/>
      <c r="C14" s="188"/>
      <c r="D14" s="189"/>
      <c r="E14" s="69"/>
      <c r="F14" s="72"/>
      <c r="G14" s="10"/>
      <c r="H14" s="44"/>
      <c r="I14" s="178"/>
      <c r="J14" s="120"/>
      <c r="K14" s="121" t="str">
        <f>IF($E14=0," ",IF($E14=$D$31,VLOOKUP($C14,Règlement!$A$4:$T$7,12,FALSE),VLOOKUP($C14,Règlement!$A$4:$I$7,4,FALSE)))</f>
        <v xml:space="preserve"> </v>
      </c>
      <c r="L14" s="122" t="str">
        <f>IF($E14=0," ",IF($E14=$D$31,VLOOKUP($C14,Règlement!$A$4:$T$7,14,FALSE),VLOOKUP($C14,Règlement!$A$4:$L$7,5,FALSE)))</f>
        <v xml:space="preserve"> </v>
      </c>
      <c r="M14" s="121" t="str">
        <f>IF($E14=0," ",IF($E14=$D$31,VLOOKUP($C14,Règlement!$A$4:$T$7,15,FALSE),VLOOKUP($C14,Règlement!$A$4:$M$7,6,FALSE)))</f>
        <v xml:space="preserve"> </v>
      </c>
      <c r="N14" s="123" t="str">
        <f>IF($E14=0," ",IF($E14=$D$31,VLOOKUP($C14,Règlement!$A$4:$T$7,17,FALSE),VLOOKUP($C14,Règlement!$A$4:$N$7,7,FALSE)))</f>
        <v xml:space="preserve"> </v>
      </c>
      <c r="O14" s="124" t="str">
        <f>IF($E14=0," ",IF($E14=$D$31,VLOOKUP($C14,Règlement!$A$4:$T$7,18,FALSE),VLOOKUP($C14,Règlement!$A$4:$O$7,8,FALSE)))</f>
        <v xml:space="preserve"> </v>
      </c>
      <c r="P14" s="123" t="str">
        <f>IF($E14=0," ",IF($E14=$D$31,VLOOKUP($C14,Règlement!$A$4:$T$7,20,FALSE),VLOOKUP($C14,Règlement!$A$4:$P$7,9,FALSE)))</f>
        <v xml:space="preserve"> </v>
      </c>
      <c r="Q14" s="131" t="str">
        <f t="shared" si="0"/>
        <v xml:space="preserve"> </v>
      </c>
      <c r="R14" s="132" t="str" cm="1">
        <f t="array" ref="R14">IF(C14=0," ",IF(AND(E14="Connues",AC14&lt;&gt;"",COUNTIFS(AC$6:AC$29,AC14,C$6:C$29,C14)&gt;1),"Doublon",IF(AND(E14="Connues",SUMPRODUCT((E$6:E$29="Connues")*(C$6:C$29=C14)*(ROW($6:$29)&lt;&gt;ROW())*(ABS(F$6:F$29-F14)&lt;=2)*((ABS(F$6:F$29-VLOOKUP(C14,Règlement!$A$4:$T$7,12,FALSE))&lt;=2)+(ABS(F$6:F$29-VLOOKUP(C14,Règlement!$A$4:$T$7,13,FALSE))&lt;=2)+(ABS(F$6:F$29-VLOOKUP(C14,Règlement!$A$4:$T$7,14,FALSE))&lt;=2)))&gt;0),"Doublon",IF($C14=0," ",IF(F14=0," ",IF(E14="Inconnues",AND(F14&gt;=K14,F14&lt;=L14),IF(AND(Règlement!$L$14="OUI",E14="Connues"),AND(F14&gt;=K14-2,F14&lt;=L14+2),OR(F14=K14,F14=K14+5,F14=L14))))))))</f>
        <v xml:space="preserve"> </v>
      </c>
      <c r="S14" s="133" t="str" cm="1">
        <f t="array" ref="S14">IF(C14=0," ",IF(AND(E14="Connues",AD14&lt;&gt;"",COUNTIFS(AD$6:AD$29,AD14,C$6:C$29,C14)&gt;1),"Doublon",IF(AND(E14="Connues",SUMPRODUCT((E$6:E$29="Connues")*(C$6:C$29=C14)*(ROW($6:$29)&lt;&gt;ROW())*(ABS(G$6:G$29-G14)&lt;=2)*((ABS(G$6:G$29-VLOOKUP(C14,Règlement!$A$4:$T$7,15,FALSE))&lt;=2)+(ABS(G$6:G$29-VLOOKUP(C14,Règlement!$A$4:$T$7,16,FALSE))&lt;=2)+(ABS(G$6:G$29-VLOOKUP(C14,Règlement!$A$4:$T$7,17,FALSE))&lt;=2)))&gt;0),"Doublon",IF($C14=0," ",IF(G14=0," ",IF(E14="Inconnues",AND(G14&gt;=M14,G14&lt;=N14),IF(AND(Règlement!$L$14="OUI",E14="Connues"),AND(G14&gt;=M14-2,G14&lt;=N14+2),OR(G14=M14,G14=M14+5,G14=N14))))))))</f>
        <v xml:space="preserve"> </v>
      </c>
      <c r="T14" s="133" t="str" cm="1">
        <f t="array" ref="T14">IF(C14=0," ",IF(AND(E14="Connues",AE14&lt;&gt;"",COUNTIFS(AE$6:AE$29,AE14,C$6:C$29,C14)&gt;1),"Doublon",IF(AND(E14="Connues",SUMPRODUCT((E$6:E$29="Connues")*(C$6:C$29=C14)*(ROW($6:$29)&lt;&gt;ROW())*(ABS(H$6:H$29-H14)&lt;=2)*((ABS(H$6:H$29-VLOOKUP(C14,Règlement!$A$4:$T$7,18,FALSE))&lt;=2)+(ABS(H$7:H$30-VLOOKUP(C14,Règlement!$A$4:$T$7,19,FALSE))&lt;=2)+(ABS(H$6:H$29-VLOOKUP(C14,Règlement!$A$4:$T$7,20,FALSE))&lt;=2)))&gt;0),"Doublon",IF($C14=0," ",IF(H14=0," ",IF(E14="Inconnues",AND(H14&gt;=O14,H14&lt;=P14),IF(AND(Règlement!$L$14="OUI",E14="Connues"),AND(H14&gt;=O14-2,H14&lt;=P14+2),OR(H14=O14,H14=O14+5,H14=P14))))))))</f>
        <v xml:space="preserve"> </v>
      </c>
      <c r="U14" s="129" t="str">
        <f>IF($C14=0," ",IF(I14=0," ",IF(Règlement!$L$14="OUI",AND(I14&gt;=O14-2,I14&lt;=Q14+2),OR(I14=O14,I14=O14+5,I14=Q14))))</f>
        <v xml:space="preserve"> </v>
      </c>
      <c r="V14" s="190" t="str">
        <f t="shared" si="5"/>
        <v xml:space="preserve"> </v>
      </c>
      <c r="W14" s="182"/>
      <c r="X14" s="182" t="str">
        <f t="shared" si="6"/>
        <v xml:space="preserve"> </v>
      </c>
      <c r="Y14" s="182"/>
      <c r="Z14" s="182" t="str">
        <f t="shared" si="7"/>
        <v xml:space="preserve"> </v>
      </c>
      <c r="AA14" s="183"/>
      <c r="AB14" s="134" t="str">
        <f t="shared" si="4"/>
        <v/>
      </c>
      <c r="AC14" s="118" t="str">
        <f>IF(
  E14="Connues",
  IF(
    ABS(F14 - VLOOKUP(C14,Règlement!$A$4:$T$7,12,FALSE))&lt;=2,
    VLOOKUP(C14,Règlement!$A$4:$T$7,12,FALSE),
    IF(
      ABS(F14 - VLOOKUP(C14,Règlement!$A$4:$T$7,13,FALSE))&lt;=2,
      VLOOKUP(C14,Règlement!$A$4:$T$7,13,FALSE),
      IF(
        ABS(F14 - VLOOKUP(C14,Règlement!$A$4:$T$7,14,FALSE))&lt;=2,
        VLOOKUP(C14,Règlement!$A$4:$T$7,14,FALSE),
        ""
      )
    )
  ),
  ""
)</f>
        <v/>
      </c>
      <c r="AD14" s="118" t="str">
        <f>IF(
  E14="Connues",
  IF(
    ABS(G14 - VLOOKUP(C14,Règlement!$A$4:$T$7,15,FALSE))&lt;=2,
    VLOOKUP(C14,Règlement!$A$4:$T$7,15,FALSE),
    IF(
      ABS(G14 - VLOOKUP(C14,Règlement!$A$4:$T$7,16,FALSE))&lt;=2,
      VLOOKUP(C14,Règlement!$A$4:$T$7,16,FALSE),
      IF(
        ABS(G14 - VLOOKUP(C14,Règlement!$A$4:$T$7,17,FALSE))&lt;=2,
        VLOOKUP(C14,Règlement!$A$4:$T$7,17,FALSE),
        ""
      )
    )
  ),
  ""
)</f>
        <v/>
      </c>
      <c r="AE14" s="118" t="str">
        <f>IF(
  E14="Connues",
  IF(
    ABS(H14 - VLOOKUP(C14,Règlement!$A$4:$T$7,15,FALSE))&lt;=2,
    VLOOKUP(C14,Règlement!$A$4:$T$7,15,FALSE),
    IF(
      ABS(H14 - VLOOKUP(C14,Règlement!$A$4:$T$7,16,FALSE))&lt;=2,
      VLOOKUP(C14,Règlement!$A$4:$T$7,16,FALSE),
      IF(
        ABS(H14 - VLOOKUP(C14,Règlement!$A$4:$T$7,17,FALSE))&lt;=2,
        VLOOKUP(C14,Règlement!$A$4:$T$7,17,FALSE),
        ""
      )
    )
  ),
  ""
)</f>
        <v/>
      </c>
    </row>
    <row r="15" spans="1:31" ht="20.75" customHeight="1">
      <c r="A15" s="130">
        <v>10</v>
      </c>
      <c r="B15" s="12"/>
      <c r="C15" s="188"/>
      <c r="D15" s="189"/>
      <c r="E15" s="69"/>
      <c r="F15" s="72"/>
      <c r="G15" s="10"/>
      <c r="H15" s="44"/>
      <c r="I15" s="178"/>
      <c r="J15" s="120"/>
      <c r="K15" s="121" t="str">
        <f>IF($E15=0," ",IF($E15=$D$31,VLOOKUP($C15,Règlement!$A$4:$T$7,12,FALSE),VLOOKUP($C15,Règlement!$A$4:$I$7,4,FALSE)))</f>
        <v xml:space="preserve"> </v>
      </c>
      <c r="L15" s="122" t="str">
        <f>IF($E15=0," ",IF($E15=$D$31,VLOOKUP($C15,Règlement!$A$4:$T$7,14,FALSE),VLOOKUP($C15,Règlement!$A$4:$L$7,5,FALSE)))</f>
        <v xml:space="preserve"> </v>
      </c>
      <c r="M15" s="121" t="str">
        <f>IF($E15=0," ",IF($E15=$D$31,VLOOKUP($C15,Règlement!$A$4:$T$7,15,FALSE),VLOOKUP($C15,Règlement!$A$4:$M$7,6,FALSE)))</f>
        <v xml:space="preserve"> </v>
      </c>
      <c r="N15" s="123" t="str">
        <f>IF($E15=0," ",IF($E15=$D$31,VLOOKUP($C15,Règlement!$A$4:$T$7,17,FALSE),VLOOKUP($C15,Règlement!$A$4:$N$7,7,FALSE)))</f>
        <v xml:space="preserve"> </v>
      </c>
      <c r="O15" s="124" t="str">
        <f>IF($E15=0," ",IF($E15=$D$31,VLOOKUP($C15,Règlement!$A$4:$T$7,18,FALSE),VLOOKUP($C15,Règlement!$A$4:$O$7,8,FALSE)))</f>
        <v xml:space="preserve"> </v>
      </c>
      <c r="P15" s="123" t="str">
        <f>IF($E15=0," ",IF($E15=$D$31,VLOOKUP($C15,Règlement!$A$4:$T$7,20,FALSE),VLOOKUP($C15,Règlement!$A$4:$P$7,9,FALSE)))</f>
        <v xml:space="preserve"> </v>
      </c>
      <c r="Q15" s="131" t="str">
        <f t="shared" si="0"/>
        <v xml:space="preserve"> </v>
      </c>
      <c r="R15" s="132" t="str" cm="1">
        <f t="array" ref="R15">IF(C15=0," ",IF(AND(E15="Connues",AC15&lt;&gt;"",COUNTIFS(AC$6:AC$29,AC15,C$6:C$29,C15)&gt;1),"Doublon",IF(AND(E15="Connues",SUMPRODUCT((E$6:E$29="Connues")*(C$6:C$29=C15)*(ROW($6:$29)&lt;&gt;ROW())*(ABS(F$6:F$29-F15)&lt;=2)*((ABS(F$6:F$29-VLOOKUP(C15,Règlement!$A$4:$T$7,12,FALSE))&lt;=2)+(ABS(F$6:F$29-VLOOKUP(C15,Règlement!$A$4:$T$7,13,FALSE))&lt;=2)+(ABS(F$6:F$29-VLOOKUP(C15,Règlement!$A$4:$T$7,14,FALSE))&lt;=2)))&gt;0),"Doublon",IF($C15=0," ",IF(F15=0," ",IF(E15="Inconnues",AND(F15&gt;=K15,F15&lt;=L15),IF(AND(Règlement!$L$14="OUI",E15="Connues"),AND(F15&gt;=K15-2,F15&lt;=L15+2),OR(F15=K15,F15=K15+5,F15=L15))))))))</f>
        <v xml:space="preserve"> </v>
      </c>
      <c r="S15" s="133" t="str" cm="1">
        <f t="array" ref="S15">IF(C15=0," ",IF(AND(E15="Connues",AD15&lt;&gt;"",COUNTIFS(AD$6:AD$29,AD15,C$6:C$29,C15)&gt;1),"Doublon",IF(AND(E15="Connues",SUMPRODUCT((E$6:E$29="Connues")*(C$6:C$29=C15)*(ROW($6:$29)&lt;&gt;ROW())*(ABS(G$6:G$29-G15)&lt;=2)*((ABS(G$6:G$29-VLOOKUP(C15,Règlement!$A$4:$T$7,15,FALSE))&lt;=2)+(ABS(G$6:G$29-VLOOKUP(C15,Règlement!$A$4:$T$7,16,FALSE))&lt;=2)+(ABS(G$6:G$29-VLOOKUP(C15,Règlement!$A$4:$T$7,17,FALSE))&lt;=2)))&gt;0),"Doublon",IF($C15=0," ",IF(G15=0," ",IF(E15="Inconnues",AND(G15&gt;=M15,G15&lt;=N15),IF(AND(Règlement!$L$14="OUI",E15="Connues"),AND(G15&gt;=M15-2,G15&lt;=N15+2),OR(G15=M15,G15=M15+5,G15=N15))))))))</f>
        <v xml:space="preserve"> </v>
      </c>
      <c r="T15" s="133" t="str" cm="1">
        <f t="array" ref="T15">IF(C15=0," ",IF(AND(E15="Connues",AE15&lt;&gt;"",COUNTIFS(AE$6:AE$29,AE15,C$6:C$29,C15)&gt;1),"Doublon",IF(AND(E15="Connues",SUMPRODUCT((E$6:E$29="Connues")*(C$6:C$29=C15)*(ROW($6:$29)&lt;&gt;ROW())*(ABS(H$6:H$29-H15)&lt;=2)*((ABS(H$6:H$29-VLOOKUP(C15,Règlement!$A$4:$T$7,18,FALSE))&lt;=2)+(ABS(H$7:H$30-VLOOKUP(C15,Règlement!$A$4:$T$7,19,FALSE))&lt;=2)+(ABS(H$6:H$29-VLOOKUP(C15,Règlement!$A$4:$T$7,20,FALSE))&lt;=2)))&gt;0),"Doublon",IF($C15=0," ",IF(H15=0," ",IF(E15="Inconnues",AND(H15&gt;=O15,H15&lt;=P15),IF(AND(Règlement!$L$14="OUI",E15="Connues"),AND(H15&gt;=O15-2,H15&lt;=P15+2),OR(H15=O15,H15=O15+5,H15=P15))))))))</f>
        <v xml:space="preserve"> </v>
      </c>
      <c r="U15" s="129" t="str">
        <f>IF($C15=0," ",IF(I15=0," ",IF(Règlement!$L$14="OUI",AND(I15&gt;=O15-2,I15&lt;=Q15+2),OR(I15=O15,I15=O15+5,I15=Q15))))</f>
        <v xml:space="preserve"> </v>
      </c>
      <c r="V15" s="190" t="str">
        <f t="shared" si="5"/>
        <v xml:space="preserve"> </v>
      </c>
      <c r="W15" s="182"/>
      <c r="X15" s="182" t="str">
        <f t="shared" si="6"/>
        <v xml:space="preserve"> </v>
      </c>
      <c r="Y15" s="182"/>
      <c r="Z15" s="182" t="str">
        <f t="shared" si="7"/>
        <v xml:space="preserve"> </v>
      </c>
      <c r="AA15" s="183"/>
      <c r="AB15" s="134" t="str">
        <f t="shared" si="4"/>
        <v/>
      </c>
      <c r="AC15" s="118" t="str">
        <f>IF(
  E15="Connues",
  IF(
    ABS(F15 - VLOOKUP(C15,Règlement!$A$4:$T$7,12,FALSE))&lt;=2,
    VLOOKUP(C15,Règlement!$A$4:$T$7,12,FALSE),
    IF(
      ABS(F15 - VLOOKUP(C15,Règlement!$A$4:$T$7,13,FALSE))&lt;=2,
      VLOOKUP(C15,Règlement!$A$4:$T$7,13,FALSE),
      IF(
        ABS(F15 - VLOOKUP(C15,Règlement!$A$4:$T$7,14,FALSE))&lt;=2,
        VLOOKUP(C15,Règlement!$A$4:$T$7,14,FALSE),
        ""
      )
    )
  ),
  ""
)</f>
        <v/>
      </c>
      <c r="AD15" s="118" t="str">
        <f>IF(
  E15="Connues",
  IF(
    ABS(G15 - VLOOKUP(C15,Règlement!$A$4:$T$7,15,FALSE))&lt;=2,
    VLOOKUP(C15,Règlement!$A$4:$T$7,15,FALSE),
    IF(
      ABS(G15 - VLOOKUP(C15,Règlement!$A$4:$T$7,16,FALSE))&lt;=2,
      VLOOKUP(C15,Règlement!$A$4:$T$7,16,FALSE),
      IF(
        ABS(G15 - VLOOKUP(C15,Règlement!$A$4:$T$7,17,FALSE))&lt;=2,
        VLOOKUP(C15,Règlement!$A$4:$T$7,17,FALSE),
        ""
      )
    )
  ),
  ""
)</f>
        <v/>
      </c>
      <c r="AE15" s="118" t="str">
        <f>IF(
  E15="Connues",
  IF(
    ABS(H15 - VLOOKUP(C15,Règlement!$A$4:$T$7,15,FALSE))&lt;=2,
    VLOOKUP(C15,Règlement!$A$4:$T$7,15,FALSE),
    IF(
      ABS(H15 - VLOOKUP(C15,Règlement!$A$4:$T$7,16,FALSE))&lt;=2,
      VLOOKUP(C15,Règlement!$A$4:$T$7,16,FALSE),
      IF(
        ABS(H15 - VLOOKUP(C15,Règlement!$A$4:$T$7,17,FALSE))&lt;=2,
        VLOOKUP(C15,Règlement!$A$4:$T$7,17,FALSE),
        ""
      )
    )
  ),
  ""
)</f>
        <v/>
      </c>
    </row>
    <row r="16" spans="1:31" ht="20.75" customHeight="1">
      <c r="A16" s="130">
        <v>11</v>
      </c>
      <c r="B16" s="12"/>
      <c r="C16" s="188"/>
      <c r="D16" s="189"/>
      <c r="E16" s="69"/>
      <c r="F16" s="72"/>
      <c r="G16" s="10"/>
      <c r="H16" s="44"/>
      <c r="I16" s="178"/>
      <c r="J16" s="120"/>
      <c r="K16" s="121" t="str">
        <f>IF($E16=0," ",IF($E16=$D$31,VLOOKUP($C16,Règlement!$A$4:$T$7,12,FALSE),VLOOKUP($C16,Règlement!$A$4:$I$7,4,FALSE)))</f>
        <v xml:space="preserve"> </v>
      </c>
      <c r="L16" s="122" t="str">
        <f>IF($E16=0," ",IF($E16=$D$31,VLOOKUP($C16,Règlement!$A$4:$T$7,14,FALSE),VLOOKUP($C16,Règlement!$A$4:$L$7,5,FALSE)))</f>
        <v xml:space="preserve"> </v>
      </c>
      <c r="M16" s="121" t="str">
        <f>IF($E16=0," ",IF($E16=$D$31,VLOOKUP($C16,Règlement!$A$4:$T$7,15,FALSE),VLOOKUP($C16,Règlement!$A$4:$M$7,6,FALSE)))</f>
        <v xml:space="preserve"> </v>
      </c>
      <c r="N16" s="123" t="str">
        <f>IF($E16=0," ",IF($E16=$D$31,VLOOKUP($C16,Règlement!$A$4:$T$7,17,FALSE),VLOOKUP($C16,Règlement!$A$4:$N$7,7,FALSE)))</f>
        <v xml:space="preserve"> </v>
      </c>
      <c r="O16" s="124" t="str">
        <f>IF($E16=0," ",IF($E16=$D$31,VLOOKUP($C16,Règlement!$A$4:$T$7,18,FALSE),VLOOKUP($C16,Règlement!$A$4:$O$7,8,FALSE)))</f>
        <v xml:space="preserve"> </v>
      </c>
      <c r="P16" s="123" t="str">
        <f>IF($E16=0," ",IF($E16=$D$31,VLOOKUP($C16,Règlement!$A$4:$T$7,20,FALSE),VLOOKUP($C16,Règlement!$A$4:$P$7,9,FALSE)))</f>
        <v xml:space="preserve"> </v>
      </c>
      <c r="Q16" s="131" t="str">
        <f t="shared" si="0"/>
        <v xml:space="preserve"> </v>
      </c>
      <c r="R16" s="132" t="str" cm="1">
        <f t="array" ref="R16">IF(C16=0," ",IF(AND(E16="Connues",AC16&lt;&gt;"",COUNTIFS(AC$6:AC$29,AC16,C$6:C$29,C16)&gt;1),"Doublon",IF(AND(E16="Connues",SUMPRODUCT((E$6:E$29="Connues")*(C$6:C$29=C16)*(ROW($6:$29)&lt;&gt;ROW())*(ABS(F$6:F$29-F16)&lt;=2)*((ABS(F$6:F$29-VLOOKUP(C16,Règlement!$A$4:$T$7,12,FALSE))&lt;=2)+(ABS(F$6:F$29-VLOOKUP(C16,Règlement!$A$4:$T$7,13,FALSE))&lt;=2)+(ABS(F$6:F$29-VLOOKUP(C16,Règlement!$A$4:$T$7,14,FALSE))&lt;=2)))&gt;0),"Doublon",IF($C16=0," ",IF(F16=0," ",IF(E16="Inconnues",AND(F16&gt;=K16,F16&lt;=L16),IF(AND(Règlement!$L$14="OUI",E16="Connues"),AND(F16&gt;=K16-2,F16&lt;=L16+2),OR(F16=K16,F16=K16+5,F16=L16))))))))</f>
        <v xml:space="preserve"> </v>
      </c>
      <c r="S16" s="133" t="str" cm="1">
        <f t="array" ref="S16">IF(C16=0," ",IF(AND(E16="Connues",AD16&lt;&gt;"",COUNTIFS(AD$6:AD$29,AD16,C$6:C$29,C16)&gt;1),"Doublon",IF(AND(E16="Connues",SUMPRODUCT((E$6:E$29="Connues")*(C$6:C$29=C16)*(ROW($6:$29)&lt;&gt;ROW())*(ABS(G$6:G$29-G16)&lt;=2)*((ABS(G$6:G$29-VLOOKUP(C16,Règlement!$A$4:$T$7,15,FALSE))&lt;=2)+(ABS(G$6:G$29-VLOOKUP(C16,Règlement!$A$4:$T$7,16,FALSE))&lt;=2)+(ABS(G$6:G$29-VLOOKUP(C16,Règlement!$A$4:$T$7,17,FALSE))&lt;=2)))&gt;0),"Doublon",IF($C16=0," ",IF(G16=0," ",IF(E16="Inconnues",AND(G16&gt;=M16,G16&lt;=N16),IF(AND(Règlement!$L$14="OUI",E16="Connues"),AND(G16&gt;=M16-2,G16&lt;=N16+2),OR(G16=M16,G16=M16+5,G16=N16))))))))</f>
        <v xml:space="preserve"> </v>
      </c>
      <c r="T16" s="133" t="str" cm="1">
        <f t="array" ref="T16">IF(C16=0," ",IF(AND(E16="Connues",AE16&lt;&gt;"",COUNTIFS(AE$6:AE$29,AE16,C$6:C$29,C16)&gt;1),"Doublon",IF(AND(E16="Connues",SUMPRODUCT((E$6:E$29="Connues")*(C$6:C$29=C16)*(ROW($6:$29)&lt;&gt;ROW())*(ABS(H$6:H$29-H16)&lt;=2)*((ABS(H$6:H$29-VLOOKUP(C16,Règlement!$A$4:$T$7,18,FALSE))&lt;=2)+(ABS(H$7:H$30-VLOOKUP(C16,Règlement!$A$4:$T$7,19,FALSE))&lt;=2)+(ABS(H$6:H$29-VLOOKUP(C16,Règlement!$A$4:$T$7,20,FALSE))&lt;=2)))&gt;0),"Doublon",IF($C16=0," ",IF(H16=0," ",IF(E16="Inconnues",AND(H16&gt;=O16,H16&lt;=P16),IF(AND(Règlement!$L$14="OUI",E16="Connues"),AND(H16&gt;=O16-2,H16&lt;=P16+2),OR(H16=O16,H16=O16+5,H16=P16))))))))</f>
        <v xml:space="preserve"> </v>
      </c>
      <c r="U16" s="129" t="str">
        <f>IF($C16=0," ",IF(I16=0," ",IF(Règlement!$L$14="OUI",AND(I16&gt;=O16-2,I16&lt;=Q16+2),OR(I16=O16,I16=O16+5,I16=Q16))))</f>
        <v xml:space="preserve"> </v>
      </c>
      <c r="V16" s="190" t="str">
        <f t="shared" si="5"/>
        <v xml:space="preserve"> </v>
      </c>
      <c r="W16" s="182"/>
      <c r="X16" s="182" t="str">
        <f t="shared" si="6"/>
        <v xml:space="preserve"> </v>
      </c>
      <c r="Y16" s="182"/>
      <c r="Z16" s="182" t="str">
        <f t="shared" si="7"/>
        <v xml:space="preserve"> </v>
      </c>
      <c r="AA16" s="183"/>
      <c r="AB16" s="134" t="str">
        <f t="shared" si="4"/>
        <v/>
      </c>
      <c r="AC16" s="118" t="str">
        <f>IF(
  E16="Connues",
  IF(
    ABS(F16 - VLOOKUP(C16,Règlement!$A$4:$T$7,12,FALSE))&lt;=2,
    VLOOKUP(C16,Règlement!$A$4:$T$7,12,FALSE),
    IF(
      ABS(F16 - VLOOKUP(C16,Règlement!$A$4:$T$7,13,FALSE))&lt;=2,
      VLOOKUP(C16,Règlement!$A$4:$T$7,13,FALSE),
      IF(
        ABS(F16 - VLOOKUP(C16,Règlement!$A$4:$T$7,14,FALSE))&lt;=2,
        VLOOKUP(C16,Règlement!$A$4:$T$7,14,FALSE),
        ""
      )
    )
  ),
  ""
)</f>
        <v/>
      </c>
      <c r="AD16" s="118" t="str">
        <f>IF(
  E16="Connues",
  IF(
    ABS(G16 - VLOOKUP(C16,Règlement!$A$4:$T$7,15,FALSE))&lt;=2,
    VLOOKUP(C16,Règlement!$A$4:$T$7,15,FALSE),
    IF(
      ABS(G16 - VLOOKUP(C16,Règlement!$A$4:$T$7,16,FALSE))&lt;=2,
      VLOOKUP(C16,Règlement!$A$4:$T$7,16,FALSE),
      IF(
        ABS(G16 - VLOOKUP(C16,Règlement!$A$4:$T$7,17,FALSE))&lt;=2,
        VLOOKUP(C16,Règlement!$A$4:$T$7,17,FALSE),
        ""
      )
    )
  ),
  ""
)</f>
        <v/>
      </c>
      <c r="AE16" s="118" t="str">
        <f>IF(
  E16="Connues",
  IF(
    ABS(H16 - VLOOKUP(C16,Règlement!$A$4:$T$7,15,FALSE))&lt;=2,
    VLOOKUP(C16,Règlement!$A$4:$T$7,15,FALSE),
    IF(
      ABS(H16 - VLOOKUP(C16,Règlement!$A$4:$T$7,16,FALSE))&lt;=2,
      VLOOKUP(C16,Règlement!$A$4:$T$7,16,FALSE),
      IF(
        ABS(H16 - VLOOKUP(C16,Règlement!$A$4:$T$7,17,FALSE))&lt;=2,
        VLOOKUP(C16,Règlement!$A$4:$T$7,17,FALSE),
        ""
      )
    )
  ),
  ""
)</f>
        <v/>
      </c>
    </row>
    <row r="17" spans="1:212" ht="20.75" customHeight="1">
      <c r="A17" s="130">
        <v>12</v>
      </c>
      <c r="B17" s="12"/>
      <c r="C17" s="188"/>
      <c r="D17" s="189"/>
      <c r="E17" s="69"/>
      <c r="F17" s="72"/>
      <c r="G17" s="10"/>
      <c r="H17" s="44"/>
      <c r="I17" s="178"/>
      <c r="J17" s="120"/>
      <c r="K17" s="121" t="str">
        <f>IF($E17=0," ",IF($E17=$D$31,VLOOKUP($C17,Règlement!$A$4:$T$7,12,FALSE),VLOOKUP($C17,Règlement!$A$4:$I$7,4,FALSE)))</f>
        <v xml:space="preserve"> </v>
      </c>
      <c r="L17" s="122" t="str">
        <f>IF($E17=0," ",IF($E17=$D$31,VLOOKUP($C17,Règlement!$A$4:$T$7,14,FALSE),VLOOKUP($C17,Règlement!$A$4:$L$7,5,FALSE)))</f>
        <v xml:space="preserve"> </v>
      </c>
      <c r="M17" s="121" t="str">
        <f>IF($E17=0," ",IF($E17=$D$31,VLOOKUP($C17,Règlement!$A$4:$T$7,15,FALSE),VLOOKUP($C17,Règlement!$A$4:$M$7,6,FALSE)))</f>
        <v xml:space="preserve"> </v>
      </c>
      <c r="N17" s="123" t="str">
        <f>IF($E17=0," ",IF($E17=$D$31,VLOOKUP($C17,Règlement!$A$4:$T$7,17,FALSE),VLOOKUP($C17,Règlement!$A$4:$N$7,7,FALSE)))</f>
        <v xml:space="preserve"> </v>
      </c>
      <c r="O17" s="124" t="str">
        <f>IF($E17=0," ",IF($E17=$D$31,VLOOKUP($C17,Règlement!$A$4:$T$7,18,FALSE),VLOOKUP($C17,Règlement!$A$4:$O$7,8,FALSE)))</f>
        <v xml:space="preserve"> </v>
      </c>
      <c r="P17" s="123" t="str">
        <f>IF($E17=0," ",IF($E17=$D$31,VLOOKUP($C17,Règlement!$A$4:$T$7,20,FALSE),VLOOKUP($C17,Règlement!$A$4:$P$7,9,FALSE)))</f>
        <v xml:space="preserve"> </v>
      </c>
      <c r="Q17" s="131" t="str">
        <f t="shared" si="0"/>
        <v xml:space="preserve"> </v>
      </c>
      <c r="R17" s="132" t="str" cm="1">
        <f t="array" ref="R17">IF(C17=0," ",IF(AND(E17="Connues",AC17&lt;&gt;"",COUNTIFS(AC$6:AC$29,AC17,C$6:C$29,C17)&gt;1),"Doublon",IF(AND(E17="Connues",SUMPRODUCT((E$6:E$29="Connues")*(C$6:C$29=C17)*(ROW($6:$29)&lt;&gt;ROW())*(ABS(F$6:F$29-F17)&lt;=2)*((ABS(F$6:F$29-VLOOKUP(C17,Règlement!$A$4:$T$7,12,FALSE))&lt;=2)+(ABS(F$6:F$29-VLOOKUP(C17,Règlement!$A$4:$T$7,13,FALSE))&lt;=2)+(ABS(F$6:F$29-VLOOKUP(C17,Règlement!$A$4:$T$7,14,FALSE))&lt;=2)))&gt;0),"Doublon",IF($C17=0," ",IF(F17=0," ",IF(E17="Inconnues",AND(F17&gt;=K17,F17&lt;=L17),IF(AND(Règlement!$L$14="OUI",E17="Connues"),AND(F17&gt;=K17-2,F17&lt;=L17+2),OR(F17=K17,F17=K17+5,F17=L17))))))))</f>
        <v xml:space="preserve"> </v>
      </c>
      <c r="S17" s="133" t="str" cm="1">
        <f t="array" ref="S17">IF(C17=0," ",IF(AND(E17="Connues",AD17&lt;&gt;"",COUNTIFS(AD$6:AD$29,AD17,C$6:C$29,C17)&gt;1),"Doublon",IF(AND(E17="Connues",SUMPRODUCT((E$6:E$29="Connues")*(C$6:C$29=C17)*(ROW($6:$29)&lt;&gt;ROW())*(ABS(G$6:G$29-G17)&lt;=2)*((ABS(G$6:G$29-VLOOKUP(C17,Règlement!$A$4:$T$7,15,FALSE))&lt;=2)+(ABS(G$6:G$29-VLOOKUP(C17,Règlement!$A$4:$T$7,16,FALSE))&lt;=2)+(ABS(G$6:G$29-VLOOKUP(C17,Règlement!$A$4:$T$7,17,FALSE))&lt;=2)))&gt;0),"Doublon",IF($C17=0," ",IF(G17=0," ",IF(E17="Inconnues",AND(G17&gt;=M17,G17&lt;=N17),IF(AND(Règlement!$L$14="OUI",E17="Connues"),AND(G17&gt;=M17-2,G17&lt;=N17+2),OR(G17=M17,G17=M17+5,G17=N17))))))))</f>
        <v xml:space="preserve"> </v>
      </c>
      <c r="T17" s="133" t="str" cm="1">
        <f t="array" ref="T17">IF(C17=0," ",IF(AND(E17="Connues",AE17&lt;&gt;"",COUNTIFS(AE$6:AE$29,AE17,C$6:C$29,C17)&gt;1),"Doublon",IF(AND(E17="Connues",SUMPRODUCT((E$6:E$29="Connues")*(C$6:C$29=C17)*(ROW($6:$29)&lt;&gt;ROW())*(ABS(H$6:H$29-H17)&lt;=2)*((ABS(H$6:H$29-VLOOKUP(C17,Règlement!$A$4:$T$7,18,FALSE))&lt;=2)+(ABS(H$7:H$30-VLOOKUP(C17,Règlement!$A$4:$T$7,19,FALSE))&lt;=2)+(ABS(H$6:H$29-VLOOKUP(C17,Règlement!$A$4:$T$7,20,FALSE))&lt;=2)))&gt;0),"Doublon",IF($C17=0," ",IF(H17=0," ",IF(E17="Inconnues",AND(H17&gt;=O17,H17&lt;=P17),IF(AND(Règlement!$L$14="OUI",E17="Connues"),AND(H17&gt;=O17-2,H17&lt;=P17+2),OR(H17=O17,H17=O17+5,H17=P17))))))))</f>
        <v xml:space="preserve"> </v>
      </c>
      <c r="U17" s="129" t="str">
        <f>IF($C17=0," ",IF(I17=0," ",IF(Règlement!$L$14="OUI",AND(I17&gt;=O17-2,I17&lt;=Q17+2),OR(I17=O17,I17=O17+5,I17=Q17))))</f>
        <v xml:space="preserve"> </v>
      </c>
      <c r="V17" s="190" t="str">
        <f t="shared" si="5"/>
        <v xml:space="preserve"> </v>
      </c>
      <c r="W17" s="182"/>
      <c r="X17" s="182" t="str">
        <f t="shared" si="6"/>
        <v xml:space="preserve"> </v>
      </c>
      <c r="Y17" s="182"/>
      <c r="Z17" s="182" t="str">
        <f t="shared" si="7"/>
        <v xml:space="preserve"> </v>
      </c>
      <c r="AA17" s="183"/>
      <c r="AB17" s="134" t="str">
        <f t="shared" si="4"/>
        <v/>
      </c>
      <c r="AC17" s="118" t="str">
        <f>IF(
  E17="Connues",
  IF(
    ABS(F17 - VLOOKUP(C17,Règlement!$A$4:$T$7,12,FALSE))&lt;=2,
    VLOOKUP(C17,Règlement!$A$4:$T$7,12,FALSE),
    IF(
      ABS(F17 - VLOOKUP(C17,Règlement!$A$4:$T$7,13,FALSE))&lt;=2,
      VLOOKUP(C17,Règlement!$A$4:$T$7,13,FALSE),
      IF(
        ABS(F17 - VLOOKUP(C17,Règlement!$A$4:$T$7,14,FALSE))&lt;=2,
        VLOOKUP(C17,Règlement!$A$4:$T$7,14,FALSE),
        ""
      )
    )
  ),
  ""
)</f>
        <v/>
      </c>
      <c r="AD17" s="118" t="str">
        <f>IF(
  E17="Connues",
  IF(
    ABS(G17 - VLOOKUP(C17,Règlement!$A$4:$T$7,15,FALSE))&lt;=2,
    VLOOKUP(C17,Règlement!$A$4:$T$7,15,FALSE),
    IF(
      ABS(G17 - VLOOKUP(C17,Règlement!$A$4:$T$7,16,FALSE))&lt;=2,
      VLOOKUP(C17,Règlement!$A$4:$T$7,16,FALSE),
      IF(
        ABS(G17 - VLOOKUP(C17,Règlement!$A$4:$T$7,17,FALSE))&lt;=2,
        VLOOKUP(C17,Règlement!$A$4:$T$7,17,FALSE),
        ""
      )
    )
  ),
  ""
)</f>
        <v/>
      </c>
      <c r="AE17" s="118" t="str">
        <f>IF(
  E17="Connues",
  IF(
    ABS(H17 - VLOOKUP(C17,Règlement!$A$4:$T$7,15,FALSE))&lt;=2,
    VLOOKUP(C17,Règlement!$A$4:$T$7,15,FALSE),
    IF(
      ABS(H17 - VLOOKUP(C17,Règlement!$A$4:$T$7,16,FALSE))&lt;=2,
      VLOOKUP(C17,Règlement!$A$4:$T$7,16,FALSE),
      IF(
        ABS(H17 - VLOOKUP(C17,Règlement!$A$4:$T$7,17,FALSE))&lt;=2,
        VLOOKUP(C17,Règlement!$A$4:$T$7,17,FALSE),
        ""
      )
    )
  ),
  ""
)</f>
        <v/>
      </c>
    </row>
    <row r="18" spans="1:212" ht="20.75" customHeight="1">
      <c r="A18" s="130">
        <v>13</v>
      </c>
      <c r="B18" s="12"/>
      <c r="C18" s="188"/>
      <c r="D18" s="189"/>
      <c r="E18" s="69"/>
      <c r="F18" s="72"/>
      <c r="G18" s="10"/>
      <c r="H18" s="44"/>
      <c r="I18" s="178"/>
      <c r="J18" s="120"/>
      <c r="K18" s="121" t="str">
        <f>IF($E18=0," ",IF($E18=$D$31,VLOOKUP($C18,Règlement!$A$4:$T$7,12,FALSE),VLOOKUP($C18,Règlement!$A$4:$I$7,4,FALSE)))</f>
        <v xml:space="preserve"> </v>
      </c>
      <c r="L18" s="122" t="str">
        <f>IF($E18=0," ",IF($E18=$D$31,VLOOKUP($C18,Règlement!$A$4:$T$7,14,FALSE),VLOOKUP($C18,Règlement!$A$4:$L$7,5,FALSE)))</f>
        <v xml:space="preserve"> </v>
      </c>
      <c r="M18" s="121" t="str">
        <f>IF($E18=0," ",IF($E18=$D$31,VLOOKUP($C18,Règlement!$A$4:$T$7,15,FALSE),VLOOKUP($C18,Règlement!$A$4:$M$7,6,FALSE)))</f>
        <v xml:space="preserve"> </v>
      </c>
      <c r="N18" s="123" t="str">
        <f>IF($E18=0," ",IF($E18=$D$31,VLOOKUP($C18,Règlement!$A$4:$T$7,17,FALSE),VLOOKUP($C18,Règlement!$A$4:$N$7,7,FALSE)))</f>
        <v xml:space="preserve"> </v>
      </c>
      <c r="O18" s="124" t="str">
        <f>IF($E18=0," ",IF($E18=$D$31,VLOOKUP($C18,Règlement!$A$4:$T$7,18,FALSE),VLOOKUP($C18,Règlement!$A$4:$O$7,8,FALSE)))</f>
        <v xml:space="preserve"> </v>
      </c>
      <c r="P18" s="123" t="str">
        <f>IF($E18=0," ",IF($E18=$D$31,VLOOKUP($C18,Règlement!$A$4:$T$7,20,FALSE),VLOOKUP($C18,Règlement!$A$4:$P$7,9,FALSE)))</f>
        <v xml:space="preserve"> </v>
      </c>
      <c r="Q18" s="131" t="str">
        <f t="shared" si="0"/>
        <v xml:space="preserve"> </v>
      </c>
      <c r="R18" s="132" t="str" cm="1">
        <f t="array" ref="R18">IF(C18=0," ",IF(AND(E18="Connues",AC18&lt;&gt;"",COUNTIFS(AC$6:AC$29,AC18,C$6:C$29,C18)&gt;1),"Doublon",IF(AND(E18="Connues",SUMPRODUCT((E$6:E$29="Connues")*(C$6:C$29=C18)*(ROW($6:$29)&lt;&gt;ROW())*(ABS(F$6:F$29-F18)&lt;=2)*((ABS(F$6:F$29-VLOOKUP(C18,Règlement!$A$4:$T$7,12,FALSE))&lt;=2)+(ABS(F$6:F$29-VLOOKUP(C18,Règlement!$A$4:$T$7,13,FALSE))&lt;=2)+(ABS(F$6:F$29-VLOOKUP(C18,Règlement!$A$4:$T$7,14,FALSE))&lt;=2)))&gt;0),"Doublon",IF($C18=0," ",IF(F18=0," ",IF(E18="Inconnues",AND(F18&gt;=K18,F18&lt;=L18),IF(AND(Règlement!$L$14="OUI",E18="Connues"),AND(F18&gt;=K18-2,F18&lt;=L18+2),OR(F18=K18,F18=K18+5,F18=L18))))))))</f>
        <v xml:space="preserve"> </v>
      </c>
      <c r="S18" s="133" t="str" cm="1">
        <f t="array" ref="S18">IF(C18=0," ",IF(AND(E18="Connues",AD18&lt;&gt;"",COUNTIFS(AD$6:AD$29,AD18,C$6:C$29,C18)&gt;1),"Doublon",IF(AND(E18="Connues",SUMPRODUCT((E$6:E$29="Connues")*(C$6:C$29=C18)*(ROW($6:$29)&lt;&gt;ROW())*(ABS(G$6:G$29-G18)&lt;=2)*((ABS(G$6:G$29-VLOOKUP(C18,Règlement!$A$4:$T$7,15,FALSE))&lt;=2)+(ABS(G$6:G$29-VLOOKUP(C18,Règlement!$A$4:$T$7,16,FALSE))&lt;=2)+(ABS(G$6:G$29-VLOOKUP(C18,Règlement!$A$4:$T$7,17,FALSE))&lt;=2)))&gt;0),"Doublon",IF($C18=0," ",IF(G18=0," ",IF(E18="Inconnues",AND(G18&gt;=M18,G18&lt;=N18),IF(AND(Règlement!$L$14="OUI",E18="Connues"),AND(G18&gt;=M18-2,G18&lt;=N18+2),OR(G18=M18,G18=M18+5,G18=N18))))))))</f>
        <v xml:space="preserve"> </v>
      </c>
      <c r="T18" s="133" t="str" cm="1">
        <f t="array" ref="T18">IF(C18=0," ",IF(AND(E18="Connues",AE18&lt;&gt;"",COUNTIFS(AE$6:AE$29,AE18,C$6:C$29,C18)&gt;1),"Doublon",IF(AND(E18="Connues",SUMPRODUCT((E$6:E$29="Connues")*(C$6:C$29=C18)*(ROW($6:$29)&lt;&gt;ROW())*(ABS(H$6:H$29-H18)&lt;=2)*((ABS(H$6:H$29-VLOOKUP(C18,Règlement!$A$4:$T$7,18,FALSE))&lt;=2)+(ABS(H$7:H$30-VLOOKUP(C18,Règlement!$A$4:$T$7,19,FALSE))&lt;=2)+(ABS(H$6:H$29-VLOOKUP(C18,Règlement!$A$4:$T$7,20,FALSE))&lt;=2)))&gt;0),"Doublon",IF($C18=0," ",IF(H18=0," ",IF(E18="Inconnues",AND(H18&gt;=O18,H18&lt;=P18),IF(AND(Règlement!$L$14="OUI",E18="Connues"),AND(H18&gt;=O18-2,H18&lt;=P18+2),OR(H18=O18,H18=O18+5,H18=P18))))))))</f>
        <v xml:space="preserve"> </v>
      </c>
      <c r="U18" s="129" t="str">
        <f>IF($C18=0," ",IF(I18=0," ",IF(Règlement!$L$14="OUI",AND(I18&gt;=O18-2,I18&lt;=Q18+2),OR(I18=O18,I18=O18+5,I18=Q18))))</f>
        <v xml:space="preserve"> </v>
      </c>
      <c r="V18" s="190" t="str">
        <f t="shared" si="5"/>
        <v xml:space="preserve"> </v>
      </c>
      <c r="W18" s="182"/>
      <c r="X18" s="182" t="str">
        <f t="shared" si="6"/>
        <v xml:space="preserve"> </v>
      </c>
      <c r="Y18" s="182"/>
      <c r="Z18" s="182" t="str">
        <f t="shared" si="7"/>
        <v xml:space="preserve"> </v>
      </c>
      <c r="AA18" s="183"/>
      <c r="AB18" s="134" t="str">
        <f t="shared" si="4"/>
        <v/>
      </c>
      <c r="AC18" s="118" t="str">
        <f>IF(
  E18="Connues",
  IF(
    ABS(F18 - VLOOKUP(C18,Règlement!$A$4:$T$7,12,FALSE))&lt;=2,
    VLOOKUP(C18,Règlement!$A$4:$T$7,12,FALSE),
    IF(
      ABS(F18 - VLOOKUP(C18,Règlement!$A$4:$T$7,13,FALSE))&lt;=2,
      VLOOKUP(C18,Règlement!$A$4:$T$7,13,FALSE),
      IF(
        ABS(F18 - VLOOKUP(C18,Règlement!$A$4:$T$7,14,FALSE))&lt;=2,
        VLOOKUP(C18,Règlement!$A$4:$T$7,14,FALSE),
        ""
      )
    )
  ),
  ""
)</f>
        <v/>
      </c>
      <c r="AD18" s="118" t="str">
        <f>IF(
  E18="Connues",
  IF(
    ABS(G18 - VLOOKUP(C18,Règlement!$A$4:$T$7,15,FALSE))&lt;=2,
    VLOOKUP(C18,Règlement!$A$4:$T$7,15,FALSE),
    IF(
      ABS(G18 - VLOOKUP(C18,Règlement!$A$4:$T$7,16,FALSE))&lt;=2,
      VLOOKUP(C18,Règlement!$A$4:$T$7,16,FALSE),
      IF(
        ABS(G18 - VLOOKUP(C18,Règlement!$A$4:$T$7,17,FALSE))&lt;=2,
        VLOOKUP(C18,Règlement!$A$4:$T$7,17,FALSE),
        ""
      )
    )
  ),
  ""
)</f>
        <v/>
      </c>
      <c r="AE18" s="118" t="str">
        <f>IF(
  E18="Connues",
  IF(
    ABS(H18 - VLOOKUP(C18,Règlement!$A$4:$T$7,15,FALSE))&lt;=2,
    VLOOKUP(C18,Règlement!$A$4:$T$7,15,FALSE),
    IF(
      ABS(H18 - VLOOKUP(C18,Règlement!$A$4:$T$7,16,FALSE))&lt;=2,
      VLOOKUP(C18,Règlement!$A$4:$T$7,16,FALSE),
      IF(
        ABS(H18 - VLOOKUP(C18,Règlement!$A$4:$T$7,17,FALSE))&lt;=2,
        VLOOKUP(C18,Règlement!$A$4:$T$7,17,FALSE),
        ""
      )
    )
  ),
  ""
)</f>
        <v/>
      </c>
    </row>
    <row r="19" spans="1:212" ht="20.75" customHeight="1">
      <c r="A19" s="130">
        <v>14</v>
      </c>
      <c r="B19" s="12"/>
      <c r="C19" s="188"/>
      <c r="D19" s="189"/>
      <c r="E19" s="69"/>
      <c r="F19" s="72"/>
      <c r="G19" s="10"/>
      <c r="H19" s="44"/>
      <c r="I19" s="178"/>
      <c r="J19" s="120"/>
      <c r="K19" s="121" t="str">
        <f>IF($E19=0," ",IF($E19=$D$31,VLOOKUP($C19,Règlement!$A$4:$T$7,12,FALSE),VLOOKUP($C19,Règlement!$A$4:$I$7,4,FALSE)))</f>
        <v xml:space="preserve"> </v>
      </c>
      <c r="L19" s="122" t="str">
        <f>IF($E19=0," ",IF($E19=$D$31,VLOOKUP($C19,Règlement!$A$4:$T$7,14,FALSE),VLOOKUP($C19,Règlement!$A$4:$L$7,5,FALSE)))</f>
        <v xml:space="preserve"> </v>
      </c>
      <c r="M19" s="121" t="str">
        <f>IF($E19=0," ",IF($E19=$D$31,VLOOKUP($C19,Règlement!$A$4:$T$7,15,FALSE),VLOOKUP($C19,Règlement!$A$4:$M$7,6,FALSE)))</f>
        <v xml:space="preserve"> </v>
      </c>
      <c r="N19" s="123" t="str">
        <f>IF($E19=0," ",IF($E19=$D$31,VLOOKUP($C19,Règlement!$A$4:$T$7,17,FALSE),VLOOKUP($C19,Règlement!$A$4:$N$7,7,FALSE)))</f>
        <v xml:space="preserve"> </v>
      </c>
      <c r="O19" s="124" t="str">
        <f>IF($E19=0," ",IF($E19=$D$31,VLOOKUP($C19,Règlement!$A$4:$T$7,18,FALSE),VLOOKUP($C19,Règlement!$A$4:$O$7,8,FALSE)))</f>
        <v xml:space="preserve"> </v>
      </c>
      <c r="P19" s="123" t="str">
        <f>IF($E19=0," ",IF($E19=$D$31,VLOOKUP($C19,Règlement!$A$4:$T$7,20,FALSE),VLOOKUP($C19,Règlement!$A$4:$P$7,9,FALSE)))</f>
        <v xml:space="preserve"> </v>
      </c>
      <c r="Q19" s="131" t="str">
        <f t="shared" si="0"/>
        <v xml:space="preserve"> </v>
      </c>
      <c r="R19" s="132" t="str" cm="1">
        <f t="array" ref="R19">IF(C19=0," ",IF(AND(E19="Connues",AC19&lt;&gt;"",COUNTIFS(AC$6:AC$29,AC19,C$6:C$29,C19)&gt;1),"Doublon",IF(AND(E19="Connues",SUMPRODUCT((E$6:E$29="Connues")*(C$6:C$29=C19)*(ROW($6:$29)&lt;&gt;ROW())*(ABS(F$6:F$29-F19)&lt;=2)*((ABS(F$6:F$29-VLOOKUP(C19,Règlement!$A$4:$T$7,12,FALSE))&lt;=2)+(ABS(F$6:F$29-VLOOKUP(C19,Règlement!$A$4:$T$7,13,FALSE))&lt;=2)+(ABS(F$6:F$29-VLOOKUP(C19,Règlement!$A$4:$T$7,14,FALSE))&lt;=2)))&gt;0),"Doublon",IF($C19=0," ",IF(F19=0," ",IF(E19="Inconnues",AND(F19&gt;=K19,F19&lt;=L19),IF(AND(Règlement!$L$14="OUI",E19="Connues"),AND(F19&gt;=K19-2,F19&lt;=L19+2),OR(F19=K19,F19=K19+5,F19=L19))))))))</f>
        <v xml:space="preserve"> </v>
      </c>
      <c r="S19" s="133" t="str" cm="1">
        <f t="array" ref="S19">IF(C19=0," ",IF(AND(E19="Connues",AD19&lt;&gt;"",COUNTIFS(AD$6:AD$29,AD19,C$6:C$29,C19)&gt;1),"Doublon",IF(AND(E19="Connues",SUMPRODUCT((E$6:E$29="Connues")*(C$6:C$29=C19)*(ROW($6:$29)&lt;&gt;ROW())*(ABS(G$6:G$29-G19)&lt;=2)*((ABS(G$6:G$29-VLOOKUP(C19,Règlement!$A$4:$T$7,15,FALSE))&lt;=2)+(ABS(G$6:G$29-VLOOKUP(C19,Règlement!$A$4:$T$7,16,FALSE))&lt;=2)+(ABS(G$6:G$29-VLOOKUP(C19,Règlement!$A$4:$T$7,17,FALSE))&lt;=2)))&gt;0),"Doublon",IF($C19=0," ",IF(G19=0," ",IF(E19="Inconnues",AND(G19&gt;=M19,G19&lt;=N19),IF(AND(Règlement!$L$14="OUI",E19="Connues"),AND(G19&gt;=M19-2,G19&lt;=N19+2),OR(G19=M19,G19=M19+5,G19=N19))))))))</f>
        <v xml:space="preserve"> </v>
      </c>
      <c r="T19" s="133" t="str" cm="1">
        <f t="array" ref="T19">IF(C19=0," ",IF(AND(E19="Connues",AE19&lt;&gt;"",COUNTIFS(AE$6:AE$29,AE19,C$6:C$29,C19)&gt;1),"Doublon",IF(AND(E19="Connues",SUMPRODUCT((E$6:E$29="Connues")*(C$6:C$29=C19)*(ROW($6:$29)&lt;&gt;ROW())*(ABS(H$6:H$29-H19)&lt;=2)*((ABS(H$6:H$29-VLOOKUP(C19,Règlement!$A$4:$T$7,18,FALSE))&lt;=2)+(ABS(H$7:H$30-VLOOKUP(C19,Règlement!$A$4:$T$7,19,FALSE))&lt;=2)+(ABS(H$6:H$29-VLOOKUP(C19,Règlement!$A$4:$T$7,20,FALSE))&lt;=2)))&gt;0),"Doublon",IF($C19=0," ",IF(H19=0," ",IF(E19="Inconnues",AND(H19&gt;=O19,H19&lt;=P19),IF(AND(Règlement!$L$14="OUI",E19="Connues"),AND(H19&gt;=O19-2,H19&lt;=P19+2),OR(H19=O19,H19=O19+5,H19=P19))))))))</f>
        <v xml:space="preserve"> </v>
      </c>
      <c r="U19" s="129" t="str">
        <f>IF($C19=0," ",IF(I19=0," ",IF(Règlement!$L$14="OUI",AND(I19&gt;=O19-2,I19&lt;=Q19+2),OR(I19=O19,I19=O19+5,I19=Q19))))</f>
        <v xml:space="preserve"> </v>
      </c>
      <c r="V19" s="190" t="str">
        <f t="shared" si="5"/>
        <v xml:space="preserve"> </v>
      </c>
      <c r="W19" s="182"/>
      <c r="X19" s="182" t="str">
        <f t="shared" si="6"/>
        <v xml:space="preserve"> </v>
      </c>
      <c r="Y19" s="182"/>
      <c r="Z19" s="182" t="str">
        <f t="shared" si="7"/>
        <v xml:space="preserve"> </v>
      </c>
      <c r="AA19" s="183"/>
      <c r="AB19" s="134" t="str">
        <f t="shared" si="4"/>
        <v/>
      </c>
      <c r="AC19" s="118" t="str">
        <f>IF(
  E19="Connues",
  IF(
    ABS(F19 - VLOOKUP(C19,Règlement!$A$4:$T$7,12,FALSE))&lt;=2,
    VLOOKUP(C19,Règlement!$A$4:$T$7,12,FALSE),
    IF(
      ABS(F19 - VLOOKUP(C19,Règlement!$A$4:$T$7,13,FALSE))&lt;=2,
      VLOOKUP(C19,Règlement!$A$4:$T$7,13,FALSE),
      IF(
        ABS(F19 - VLOOKUP(C19,Règlement!$A$4:$T$7,14,FALSE))&lt;=2,
        VLOOKUP(C19,Règlement!$A$4:$T$7,14,FALSE),
        ""
      )
    )
  ),
  ""
)</f>
        <v/>
      </c>
      <c r="AD19" s="118" t="str">
        <f>IF(
  E19="Connues",
  IF(
    ABS(G19 - VLOOKUP(C19,Règlement!$A$4:$T$7,15,FALSE))&lt;=2,
    VLOOKUP(C19,Règlement!$A$4:$T$7,15,FALSE),
    IF(
      ABS(G19 - VLOOKUP(C19,Règlement!$A$4:$T$7,16,FALSE))&lt;=2,
      VLOOKUP(C19,Règlement!$A$4:$T$7,16,FALSE),
      IF(
        ABS(G19 - VLOOKUP(C19,Règlement!$A$4:$T$7,17,FALSE))&lt;=2,
        VLOOKUP(C19,Règlement!$A$4:$T$7,17,FALSE),
        ""
      )
    )
  ),
  ""
)</f>
        <v/>
      </c>
      <c r="AE19" s="118" t="str">
        <f>IF(
  E19="Connues",
  IF(
    ABS(H19 - VLOOKUP(C19,Règlement!$A$4:$T$7,15,FALSE))&lt;=2,
    VLOOKUP(C19,Règlement!$A$4:$T$7,15,FALSE),
    IF(
      ABS(H19 - VLOOKUP(C19,Règlement!$A$4:$T$7,16,FALSE))&lt;=2,
      VLOOKUP(C19,Règlement!$A$4:$T$7,16,FALSE),
      IF(
        ABS(H19 - VLOOKUP(C19,Règlement!$A$4:$T$7,17,FALSE))&lt;=2,
        VLOOKUP(C19,Règlement!$A$4:$T$7,17,FALSE),
        ""
      )
    )
  ),
  ""
)</f>
        <v/>
      </c>
    </row>
    <row r="20" spans="1:212" ht="20.75" customHeight="1">
      <c r="A20" s="130">
        <v>15</v>
      </c>
      <c r="B20" s="12"/>
      <c r="C20" s="188"/>
      <c r="D20" s="189"/>
      <c r="E20" s="69"/>
      <c r="F20" s="72"/>
      <c r="G20" s="10"/>
      <c r="H20" s="44"/>
      <c r="I20" s="178"/>
      <c r="J20" s="120"/>
      <c r="K20" s="121" t="str">
        <f>IF($E20=0," ",IF($E20=$D$31,VLOOKUP($C20,Règlement!$A$4:$T$7,12,FALSE),VLOOKUP($C20,Règlement!$A$4:$I$7,4,FALSE)))</f>
        <v xml:space="preserve"> </v>
      </c>
      <c r="L20" s="122" t="str">
        <f>IF($E20=0," ",IF($E20=$D$31,VLOOKUP($C20,Règlement!$A$4:$T$7,14,FALSE),VLOOKUP($C20,Règlement!$A$4:$L$7,5,FALSE)))</f>
        <v xml:space="preserve"> </v>
      </c>
      <c r="M20" s="121" t="str">
        <f>IF($E20=0," ",IF($E20=$D$31,VLOOKUP($C20,Règlement!$A$4:$T$7,15,FALSE),VLOOKUP($C20,Règlement!$A$4:$M$7,6,FALSE)))</f>
        <v xml:space="preserve"> </v>
      </c>
      <c r="N20" s="123" t="str">
        <f>IF($E20=0," ",IF($E20=$D$31,VLOOKUP($C20,Règlement!$A$4:$T$7,17,FALSE),VLOOKUP($C20,Règlement!$A$4:$N$7,7,FALSE)))</f>
        <v xml:space="preserve"> </v>
      </c>
      <c r="O20" s="124" t="str">
        <f>IF($E20=0," ",IF($E20=$D$31,VLOOKUP($C20,Règlement!$A$4:$T$7,18,FALSE),VLOOKUP($C20,Règlement!$A$4:$O$7,8,FALSE)))</f>
        <v xml:space="preserve"> </v>
      </c>
      <c r="P20" s="123" t="str">
        <f>IF($E20=0," ",IF($E20=$D$31,VLOOKUP($C20,Règlement!$A$4:$T$7,20,FALSE),VLOOKUP($C20,Règlement!$A$4:$P$7,9,FALSE)))</f>
        <v xml:space="preserve"> </v>
      </c>
      <c r="Q20" s="131" t="str">
        <f t="shared" si="0"/>
        <v xml:space="preserve"> </v>
      </c>
      <c r="R20" s="132" t="str" cm="1">
        <f t="array" ref="R20">IF(C20=0," ",IF(AND(E20="Connues",AC20&lt;&gt;"",COUNTIFS(AC$6:AC$29,AC20,C$6:C$29,C20)&gt;1),"Doublon",IF(AND(E20="Connues",SUMPRODUCT((E$6:E$29="Connues")*(C$6:C$29=C20)*(ROW($6:$29)&lt;&gt;ROW())*(ABS(F$6:F$29-F20)&lt;=2)*((ABS(F$6:F$29-VLOOKUP(C20,Règlement!$A$4:$T$7,12,FALSE))&lt;=2)+(ABS(F$6:F$29-VLOOKUP(C20,Règlement!$A$4:$T$7,13,FALSE))&lt;=2)+(ABS(F$6:F$29-VLOOKUP(C20,Règlement!$A$4:$T$7,14,FALSE))&lt;=2)))&gt;0),"Doublon",IF($C20=0," ",IF(F20=0," ",IF(E20="Inconnues",AND(F20&gt;=K20,F20&lt;=L20),IF(AND(Règlement!$L$14="OUI",E20="Connues"),AND(F20&gt;=K20-2,F20&lt;=L20+2),OR(F20=K20,F20=K20+5,F20=L20))))))))</f>
        <v xml:space="preserve"> </v>
      </c>
      <c r="S20" s="133" t="str" cm="1">
        <f t="array" ref="S20">IF(C20=0," ",IF(AND(E20="Connues",AD20&lt;&gt;"",COUNTIFS(AD$6:AD$29,AD20,C$6:C$29,C20)&gt;1),"Doublon",IF(AND(E20="Connues",SUMPRODUCT((E$6:E$29="Connues")*(C$6:C$29=C20)*(ROW($6:$29)&lt;&gt;ROW())*(ABS(G$6:G$29-G20)&lt;=2)*((ABS(G$6:G$29-VLOOKUP(C20,Règlement!$A$4:$T$7,15,FALSE))&lt;=2)+(ABS(G$6:G$29-VLOOKUP(C20,Règlement!$A$4:$T$7,16,FALSE))&lt;=2)+(ABS(G$6:G$29-VLOOKUP(C20,Règlement!$A$4:$T$7,17,FALSE))&lt;=2)))&gt;0),"Doublon",IF($C20=0," ",IF(G20=0," ",IF(E20="Inconnues",AND(G20&gt;=M20,G20&lt;=N20),IF(AND(Règlement!$L$14="OUI",E20="Connues"),AND(G20&gt;=M20-2,G20&lt;=N20+2),OR(G20=M20,G20=M20+5,G20=N20))))))))</f>
        <v xml:space="preserve"> </v>
      </c>
      <c r="T20" s="133" t="str" cm="1">
        <f t="array" ref="T20">IF(C20=0," ",IF(AND(E20="Connues",AE20&lt;&gt;"",COUNTIFS(AE$6:AE$29,AE20,C$6:C$29,C20)&gt;1),"Doublon",IF(AND(E20="Connues",SUMPRODUCT((E$6:E$29="Connues")*(C$6:C$29=C20)*(ROW($6:$29)&lt;&gt;ROW())*(ABS(H$6:H$29-H20)&lt;=2)*((ABS(H$6:H$29-VLOOKUP(C20,Règlement!$A$4:$T$7,18,FALSE))&lt;=2)+(ABS(H$7:H$30-VLOOKUP(C20,Règlement!$A$4:$T$7,19,FALSE))&lt;=2)+(ABS(H$6:H$29-VLOOKUP(C20,Règlement!$A$4:$T$7,20,FALSE))&lt;=2)))&gt;0),"Doublon",IF($C20=0," ",IF(H20=0," ",IF(E20="Inconnues",AND(H20&gt;=O20,H20&lt;=P20),IF(AND(Règlement!$L$14="OUI",E20="Connues"),AND(H20&gt;=O20-2,H20&lt;=P20+2),OR(H20=O20,H20=O20+5,H20=P20))))))))</f>
        <v xml:space="preserve"> </v>
      </c>
      <c r="U20" s="129" t="str">
        <f>IF($C20=0," ",IF(I20=0," ",IF(Règlement!$L$14="OUI",AND(I20&gt;=O20-2,I20&lt;=Q20+2),OR(I20=O20,I20=O20+5,I20=Q20))))</f>
        <v xml:space="preserve"> </v>
      </c>
      <c r="V20" s="190" t="str">
        <f t="shared" si="5"/>
        <v xml:space="preserve"> </v>
      </c>
      <c r="W20" s="182"/>
      <c r="X20" s="182" t="str">
        <f t="shared" si="6"/>
        <v xml:space="preserve"> </v>
      </c>
      <c r="Y20" s="182"/>
      <c r="Z20" s="182" t="str">
        <f t="shared" si="7"/>
        <v xml:space="preserve"> </v>
      </c>
      <c r="AA20" s="183"/>
      <c r="AB20" s="134" t="str">
        <f t="shared" si="4"/>
        <v/>
      </c>
      <c r="AC20" s="118" t="str">
        <f>IF(
  E20="Connues",
  IF(
    ABS(F20 - VLOOKUP(C20,Règlement!$A$4:$T$7,12,FALSE))&lt;=2,
    VLOOKUP(C20,Règlement!$A$4:$T$7,12,FALSE),
    IF(
      ABS(F20 - VLOOKUP(C20,Règlement!$A$4:$T$7,13,FALSE))&lt;=2,
      VLOOKUP(C20,Règlement!$A$4:$T$7,13,FALSE),
      IF(
        ABS(F20 - VLOOKUP(C20,Règlement!$A$4:$T$7,14,FALSE))&lt;=2,
        VLOOKUP(C20,Règlement!$A$4:$T$7,14,FALSE),
        ""
      )
    )
  ),
  ""
)</f>
        <v/>
      </c>
      <c r="AD20" s="118" t="str">
        <f>IF(
  E20="Connues",
  IF(
    ABS(G20 - VLOOKUP(C20,Règlement!$A$4:$T$7,15,FALSE))&lt;=2,
    VLOOKUP(C20,Règlement!$A$4:$T$7,15,FALSE),
    IF(
      ABS(G20 - VLOOKUP(C20,Règlement!$A$4:$T$7,16,FALSE))&lt;=2,
      VLOOKUP(C20,Règlement!$A$4:$T$7,16,FALSE),
      IF(
        ABS(G20 - VLOOKUP(C20,Règlement!$A$4:$T$7,17,FALSE))&lt;=2,
        VLOOKUP(C20,Règlement!$A$4:$T$7,17,FALSE),
        ""
      )
    )
  ),
  ""
)</f>
        <v/>
      </c>
      <c r="AE20" s="118" t="str">
        <f>IF(
  E20="Connues",
  IF(
    ABS(H20 - VLOOKUP(C20,Règlement!$A$4:$T$7,15,FALSE))&lt;=2,
    VLOOKUP(C20,Règlement!$A$4:$T$7,15,FALSE),
    IF(
      ABS(H20 - VLOOKUP(C20,Règlement!$A$4:$T$7,16,FALSE))&lt;=2,
      VLOOKUP(C20,Règlement!$A$4:$T$7,16,FALSE),
      IF(
        ABS(H20 - VLOOKUP(C20,Règlement!$A$4:$T$7,17,FALSE))&lt;=2,
        VLOOKUP(C20,Règlement!$A$4:$T$7,17,FALSE),
        ""
      )
    )
  ),
  ""
)</f>
        <v/>
      </c>
    </row>
    <row r="21" spans="1:212" ht="20.75" customHeight="1">
      <c r="A21" s="130">
        <v>16</v>
      </c>
      <c r="B21" s="12"/>
      <c r="C21" s="188"/>
      <c r="D21" s="189"/>
      <c r="E21" s="69"/>
      <c r="F21" s="72"/>
      <c r="G21" s="10"/>
      <c r="H21" s="44"/>
      <c r="I21" s="178"/>
      <c r="J21" s="120"/>
      <c r="K21" s="121" t="str">
        <f>IF($E21=0," ",IF($E21=$D$31,VLOOKUP($C21,Règlement!$A$4:$T$7,12,FALSE),VLOOKUP($C21,Règlement!$A$4:$I$7,4,FALSE)))</f>
        <v xml:space="preserve"> </v>
      </c>
      <c r="L21" s="122" t="str">
        <f>IF($E21=0," ",IF($E21=$D$31,VLOOKUP($C21,Règlement!$A$4:$T$7,14,FALSE),VLOOKUP($C21,Règlement!$A$4:$L$7,5,FALSE)))</f>
        <v xml:space="preserve"> </v>
      </c>
      <c r="M21" s="121" t="str">
        <f>IF($E21=0," ",IF($E21=$D$31,VLOOKUP($C21,Règlement!$A$4:$T$7,15,FALSE),VLOOKUP($C21,Règlement!$A$4:$M$7,6,FALSE)))</f>
        <v xml:space="preserve"> </v>
      </c>
      <c r="N21" s="123" t="str">
        <f>IF($E21=0," ",IF($E21=$D$31,VLOOKUP($C21,Règlement!$A$4:$T$7,17,FALSE),VLOOKUP($C21,Règlement!$A$4:$N$7,7,FALSE)))</f>
        <v xml:space="preserve"> </v>
      </c>
      <c r="O21" s="124" t="str">
        <f>IF($E21=0," ",IF($E21=$D$31,VLOOKUP($C21,Règlement!$A$4:$T$7,18,FALSE),VLOOKUP($C21,Règlement!$A$4:$O$7,8,FALSE)))</f>
        <v xml:space="preserve"> </v>
      </c>
      <c r="P21" s="123" t="str">
        <f>IF($E21=0," ",IF($E21=$D$31,VLOOKUP($C21,Règlement!$A$4:$T$7,20,FALSE),VLOOKUP($C21,Règlement!$A$4:$P$7,9,FALSE)))</f>
        <v xml:space="preserve"> </v>
      </c>
      <c r="Q21" s="131" t="str">
        <f t="shared" si="0"/>
        <v xml:space="preserve"> </v>
      </c>
      <c r="R21" s="132" t="str" cm="1">
        <f t="array" ref="R21">IF(C21=0," ",IF(AND(E21="Connues",AC21&lt;&gt;"",COUNTIFS(AC$6:AC$29,AC21,C$6:C$29,C21)&gt;1),"Doublon",IF(AND(E21="Connues",SUMPRODUCT((E$6:E$29="Connues")*(C$6:C$29=C21)*(ROW($6:$29)&lt;&gt;ROW())*(ABS(F$6:F$29-F21)&lt;=2)*((ABS(F$6:F$29-VLOOKUP(C21,Règlement!$A$4:$T$7,12,FALSE))&lt;=2)+(ABS(F$6:F$29-VLOOKUP(C21,Règlement!$A$4:$T$7,13,FALSE))&lt;=2)+(ABS(F$6:F$29-VLOOKUP(C21,Règlement!$A$4:$T$7,14,FALSE))&lt;=2)))&gt;0),"Doublon",IF($C21=0," ",IF(F21=0," ",IF(E21="Inconnues",AND(F21&gt;=K21,F21&lt;=L21),IF(AND(Règlement!$L$14="OUI",E21="Connues"),AND(F21&gt;=K21-2,F21&lt;=L21+2),OR(F21=K21,F21=K21+5,F21=L21))))))))</f>
        <v xml:space="preserve"> </v>
      </c>
      <c r="S21" s="133" t="str" cm="1">
        <f t="array" ref="S21">IF(C21=0," ",IF(AND(E21="Connues",AD21&lt;&gt;"",COUNTIFS(AD$6:AD$29,AD21,C$6:C$29,C21)&gt;1),"Doublon",IF(AND(E21="Connues",SUMPRODUCT((E$6:E$29="Connues")*(C$6:C$29=C21)*(ROW($6:$29)&lt;&gt;ROW())*(ABS(G$6:G$29-G21)&lt;=2)*((ABS(G$6:G$29-VLOOKUP(C21,Règlement!$A$4:$T$7,15,FALSE))&lt;=2)+(ABS(G$6:G$29-VLOOKUP(C21,Règlement!$A$4:$T$7,16,FALSE))&lt;=2)+(ABS(G$6:G$29-VLOOKUP(C21,Règlement!$A$4:$T$7,17,FALSE))&lt;=2)))&gt;0),"Doublon",IF($C21=0," ",IF(G21=0," ",IF(E21="Inconnues",AND(G21&gt;=M21,G21&lt;=N21),IF(AND(Règlement!$L$14="OUI",E21="Connues"),AND(G21&gt;=M21-2,G21&lt;=N21+2),OR(G21=M21,G21=M21+5,G21=N21))))))))</f>
        <v xml:space="preserve"> </v>
      </c>
      <c r="T21" s="133" t="str" cm="1">
        <f t="array" ref="T21">IF(C21=0," ",IF(AND(E21="Connues",AE21&lt;&gt;"",COUNTIFS(AE$6:AE$29,AE21,C$6:C$29,C21)&gt;1),"Doublon",IF(AND(E21="Connues",SUMPRODUCT((E$6:E$29="Connues")*(C$6:C$29=C21)*(ROW($6:$29)&lt;&gt;ROW())*(ABS(H$6:H$29-H21)&lt;=2)*((ABS(H$6:H$29-VLOOKUP(C21,Règlement!$A$4:$T$7,18,FALSE))&lt;=2)+(ABS(H$7:H$30-VLOOKUP(C21,Règlement!$A$4:$T$7,19,FALSE))&lt;=2)+(ABS(H$6:H$29-VLOOKUP(C21,Règlement!$A$4:$T$7,20,FALSE))&lt;=2)))&gt;0),"Doublon",IF($C21=0," ",IF(H21=0," ",IF(E21="Inconnues",AND(H21&gt;=O21,H21&lt;=P21),IF(AND(Règlement!$L$14="OUI",E21="Connues"),AND(H21&gt;=O21-2,H21&lt;=P21+2),OR(H21=O21,H21=O21+5,H21=P21))))))))</f>
        <v xml:space="preserve"> </v>
      </c>
      <c r="U21" s="129" t="str">
        <f>IF($C21=0," ",IF(I21=0," ",IF(Règlement!$L$14="OUI",AND(I21&gt;=O21-2,I21&lt;=Q21+2),OR(I21=O21,I21=O21+5,I21=Q21))))</f>
        <v xml:space="preserve"> </v>
      </c>
      <c r="V21" s="190" t="str">
        <f t="shared" si="5"/>
        <v xml:space="preserve"> </v>
      </c>
      <c r="W21" s="182"/>
      <c r="X21" s="182" t="str">
        <f t="shared" si="6"/>
        <v xml:space="preserve"> </v>
      </c>
      <c r="Y21" s="182"/>
      <c r="Z21" s="182" t="str">
        <f t="shared" si="7"/>
        <v xml:space="preserve"> </v>
      </c>
      <c r="AA21" s="183"/>
      <c r="AB21" s="134" t="str">
        <f t="shared" si="4"/>
        <v/>
      </c>
      <c r="AC21" s="118" t="str">
        <f>IF(
  E21="Connues",
  IF(
    ABS(F21 - VLOOKUP(C21,Règlement!$A$4:$T$7,12,FALSE))&lt;=2,
    VLOOKUP(C21,Règlement!$A$4:$T$7,12,FALSE),
    IF(
      ABS(F21 - VLOOKUP(C21,Règlement!$A$4:$T$7,13,FALSE))&lt;=2,
      VLOOKUP(C21,Règlement!$A$4:$T$7,13,FALSE),
      IF(
        ABS(F21 - VLOOKUP(C21,Règlement!$A$4:$T$7,14,FALSE))&lt;=2,
        VLOOKUP(C21,Règlement!$A$4:$T$7,14,FALSE),
        ""
      )
    )
  ),
  ""
)</f>
        <v/>
      </c>
      <c r="AD21" s="118" t="str">
        <f>IF(
  E21="Connues",
  IF(
    ABS(G21 - VLOOKUP(C21,Règlement!$A$4:$T$7,15,FALSE))&lt;=2,
    VLOOKUP(C21,Règlement!$A$4:$T$7,15,FALSE),
    IF(
      ABS(G21 - VLOOKUP(C21,Règlement!$A$4:$T$7,16,FALSE))&lt;=2,
      VLOOKUP(C21,Règlement!$A$4:$T$7,16,FALSE),
      IF(
        ABS(G21 - VLOOKUP(C21,Règlement!$A$4:$T$7,17,FALSE))&lt;=2,
        VLOOKUP(C21,Règlement!$A$4:$T$7,17,FALSE),
        ""
      )
    )
  ),
  ""
)</f>
        <v/>
      </c>
      <c r="AE21" s="118" t="str">
        <f>IF(
  E21="Connues",
  IF(
    ABS(H21 - VLOOKUP(C21,Règlement!$A$4:$T$7,15,FALSE))&lt;=2,
    VLOOKUP(C21,Règlement!$A$4:$T$7,15,FALSE),
    IF(
      ABS(H21 - VLOOKUP(C21,Règlement!$A$4:$T$7,16,FALSE))&lt;=2,
      VLOOKUP(C21,Règlement!$A$4:$T$7,16,FALSE),
      IF(
        ABS(H21 - VLOOKUP(C21,Règlement!$A$4:$T$7,17,FALSE))&lt;=2,
        VLOOKUP(C21,Règlement!$A$4:$T$7,17,FALSE),
        ""
      )
    )
  ),
  ""
)</f>
        <v/>
      </c>
    </row>
    <row r="22" spans="1:212" ht="20.75" customHeight="1">
      <c r="A22" s="130">
        <v>17</v>
      </c>
      <c r="B22" s="12"/>
      <c r="C22" s="188"/>
      <c r="D22" s="189"/>
      <c r="E22" s="69"/>
      <c r="F22" s="72"/>
      <c r="G22" s="10"/>
      <c r="H22" s="44"/>
      <c r="I22" s="178"/>
      <c r="J22" s="120"/>
      <c r="K22" s="121" t="str">
        <f>IF($E22=0," ",IF($E22=$D$31,VLOOKUP($C22,Règlement!$A$4:$T$7,12,FALSE),VLOOKUP($C22,Règlement!$A$4:$I$7,4,FALSE)))</f>
        <v xml:space="preserve"> </v>
      </c>
      <c r="L22" s="122" t="str">
        <f>IF($E22=0," ",IF($E22=$D$31,VLOOKUP($C22,Règlement!$A$4:$T$7,14,FALSE),VLOOKUP($C22,Règlement!$A$4:$L$7,5,FALSE)))</f>
        <v xml:space="preserve"> </v>
      </c>
      <c r="M22" s="121" t="str">
        <f>IF($E22=0," ",IF($E22=$D$31,VLOOKUP($C22,Règlement!$A$4:$T$7,15,FALSE),VLOOKUP($C22,Règlement!$A$4:$M$7,6,FALSE)))</f>
        <v xml:space="preserve"> </v>
      </c>
      <c r="N22" s="123" t="str">
        <f>IF($E22=0," ",IF($E22=$D$31,VLOOKUP($C22,Règlement!$A$4:$T$7,17,FALSE),VLOOKUP($C22,Règlement!$A$4:$N$7,7,FALSE)))</f>
        <v xml:space="preserve"> </v>
      </c>
      <c r="O22" s="124" t="str">
        <f>IF($E22=0," ",IF($E22=$D$31,VLOOKUP($C22,Règlement!$A$4:$T$7,18,FALSE),VLOOKUP($C22,Règlement!$A$4:$O$7,8,FALSE)))</f>
        <v xml:space="preserve"> </v>
      </c>
      <c r="P22" s="123" t="str">
        <f>IF($E22=0," ",IF($E22=$D$31,VLOOKUP($C22,Règlement!$A$4:$T$7,20,FALSE),VLOOKUP($C22,Règlement!$A$4:$P$7,9,FALSE)))</f>
        <v xml:space="preserve"> </v>
      </c>
      <c r="Q22" s="131" t="str">
        <f t="shared" si="0"/>
        <v xml:space="preserve"> </v>
      </c>
      <c r="R22" s="132" t="str" cm="1">
        <f t="array" ref="R22">IF(C22=0," ",IF(AND(E22="Connues",AC22&lt;&gt;"",COUNTIFS(AC$6:AC$29,AC22,C$6:C$29,C22)&gt;1),"Doublon",IF(AND(E22="Connues",SUMPRODUCT((E$6:E$29="Connues")*(C$6:C$29=C22)*(ROW($6:$29)&lt;&gt;ROW())*(ABS(F$6:F$29-F22)&lt;=2)*((ABS(F$6:F$29-VLOOKUP(C22,Règlement!$A$4:$T$7,12,FALSE))&lt;=2)+(ABS(F$6:F$29-VLOOKUP(C22,Règlement!$A$4:$T$7,13,FALSE))&lt;=2)+(ABS(F$6:F$29-VLOOKUP(C22,Règlement!$A$4:$T$7,14,FALSE))&lt;=2)))&gt;0),"Doublon",IF($C22=0," ",IF(F22=0," ",IF(E22="Inconnues",AND(F22&gt;=K22,F22&lt;=L22),IF(AND(Règlement!$L$14="OUI",E22="Connues"),AND(F22&gt;=K22-2,F22&lt;=L22+2),OR(F22=K22,F22=K22+5,F22=L22))))))))</f>
        <v xml:space="preserve"> </v>
      </c>
      <c r="S22" s="133" t="str" cm="1">
        <f t="array" ref="S22">IF(C22=0," ",IF(AND(E22="Connues",AD22&lt;&gt;"",COUNTIFS(AD$6:AD$29,AD22,C$6:C$29,C22)&gt;1),"Doublon",IF(AND(E22="Connues",SUMPRODUCT((E$6:E$29="Connues")*(C$6:C$29=C22)*(ROW($6:$29)&lt;&gt;ROW())*(ABS(G$6:G$29-G22)&lt;=2)*((ABS(G$6:G$29-VLOOKUP(C22,Règlement!$A$4:$T$7,15,FALSE))&lt;=2)+(ABS(G$6:G$29-VLOOKUP(C22,Règlement!$A$4:$T$7,16,FALSE))&lt;=2)+(ABS(G$6:G$29-VLOOKUP(C22,Règlement!$A$4:$T$7,17,FALSE))&lt;=2)))&gt;0),"Doublon",IF($C22=0," ",IF(G22=0," ",IF(E22="Inconnues",AND(G22&gt;=M22,G22&lt;=N22),IF(AND(Règlement!$L$14="OUI",E22="Connues"),AND(G22&gt;=M22-2,G22&lt;=N22+2),OR(G22=M22,G22=M22+5,G22=N22))))))))</f>
        <v xml:space="preserve"> </v>
      </c>
      <c r="T22" s="133" t="str" cm="1">
        <f t="array" ref="T22">IF(C22=0," ",IF(AND(E22="Connues",AE22&lt;&gt;"",COUNTIFS(AE$6:AE$29,AE22,C$6:C$29,C22)&gt;1),"Doublon",IF(AND(E22="Connues",SUMPRODUCT((E$6:E$29="Connues")*(C$6:C$29=C22)*(ROW($6:$29)&lt;&gt;ROW())*(ABS(H$6:H$29-H22)&lt;=2)*((ABS(H$6:H$29-VLOOKUP(C22,Règlement!$A$4:$T$7,18,FALSE))&lt;=2)+(ABS(H$7:H$30-VLOOKUP(C22,Règlement!$A$4:$T$7,19,FALSE))&lt;=2)+(ABS(H$6:H$29-VLOOKUP(C22,Règlement!$A$4:$T$7,20,FALSE))&lt;=2)))&gt;0),"Doublon",IF($C22=0," ",IF(H22=0," ",IF(E22="Inconnues",AND(H22&gt;=O22,H22&lt;=P22),IF(AND(Règlement!$L$14="OUI",E22="Connues"),AND(H22&gt;=O22-2,H22&lt;=P22+2),OR(H22=O22,H22=O22+5,H22=P22))))))))</f>
        <v xml:space="preserve"> </v>
      </c>
      <c r="U22" s="129" t="str">
        <f>IF($C22=0," ",IF(I22=0," ",IF(Règlement!$L$14="OUI",AND(I22&gt;=O22-2,I22&lt;=Q22+2),OR(I22=O22,I22=O22+5,I22=Q22))))</f>
        <v xml:space="preserve"> </v>
      </c>
      <c r="V22" s="190" t="str">
        <f t="shared" si="5"/>
        <v xml:space="preserve"> </v>
      </c>
      <c r="W22" s="182"/>
      <c r="X22" s="182" t="str">
        <f t="shared" si="6"/>
        <v xml:space="preserve"> </v>
      </c>
      <c r="Y22" s="182"/>
      <c r="Z22" s="182" t="str">
        <f t="shared" si="7"/>
        <v xml:space="preserve"> </v>
      </c>
      <c r="AA22" s="183"/>
      <c r="AB22" s="134" t="str">
        <f t="shared" si="4"/>
        <v/>
      </c>
      <c r="AC22" s="118" t="str">
        <f>IF(
  E22="Connues",
  IF(
    ABS(F22 - VLOOKUP(C22,Règlement!$A$4:$T$7,12,FALSE))&lt;=2,
    VLOOKUP(C22,Règlement!$A$4:$T$7,12,FALSE),
    IF(
      ABS(F22 - VLOOKUP(C22,Règlement!$A$4:$T$7,13,FALSE))&lt;=2,
      VLOOKUP(C22,Règlement!$A$4:$T$7,13,FALSE),
      IF(
        ABS(F22 - VLOOKUP(C22,Règlement!$A$4:$T$7,14,FALSE))&lt;=2,
        VLOOKUP(C22,Règlement!$A$4:$T$7,14,FALSE),
        ""
      )
    )
  ),
  ""
)</f>
        <v/>
      </c>
      <c r="AD22" s="118" t="str">
        <f>IF(
  E22="Connues",
  IF(
    ABS(G22 - VLOOKUP(C22,Règlement!$A$4:$T$7,15,FALSE))&lt;=2,
    VLOOKUP(C22,Règlement!$A$4:$T$7,15,FALSE),
    IF(
      ABS(G22 - VLOOKUP(C22,Règlement!$A$4:$T$7,16,FALSE))&lt;=2,
      VLOOKUP(C22,Règlement!$A$4:$T$7,16,FALSE),
      IF(
        ABS(G22 - VLOOKUP(C22,Règlement!$A$4:$T$7,17,FALSE))&lt;=2,
        VLOOKUP(C22,Règlement!$A$4:$T$7,17,FALSE),
        ""
      )
    )
  ),
  ""
)</f>
        <v/>
      </c>
      <c r="AE22" s="118" t="str">
        <f>IF(
  E22="Connues",
  IF(
    ABS(H22 - VLOOKUP(C22,Règlement!$A$4:$T$7,15,FALSE))&lt;=2,
    VLOOKUP(C22,Règlement!$A$4:$T$7,15,FALSE),
    IF(
      ABS(H22 - VLOOKUP(C22,Règlement!$A$4:$T$7,16,FALSE))&lt;=2,
      VLOOKUP(C22,Règlement!$A$4:$T$7,16,FALSE),
      IF(
        ABS(H22 - VLOOKUP(C22,Règlement!$A$4:$T$7,17,FALSE))&lt;=2,
        VLOOKUP(C22,Règlement!$A$4:$T$7,17,FALSE),
        ""
      )
    )
  ),
  ""
)</f>
        <v/>
      </c>
    </row>
    <row r="23" spans="1:212" ht="20.75" customHeight="1">
      <c r="A23" s="130">
        <v>18</v>
      </c>
      <c r="B23" s="12"/>
      <c r="C23" s="188"/>
      <c r="D23" s="189"/>
      <c r="E23" s="69"/>
      <c r="F23" s="71"/>
      <c r="G23" s="9"/>
      <c r="H23" s="43"/>
      <c r="I23" s="178"/>
      <c r="J23" s="120"/>
      <c r="K23" s="121" t="str">
        <f>IF($E23=0," ",IF($E23=$D$31,VLOOKUP($C23,Règlement!$A$4:$T$7,12,FALSE),VLOOKUP($C23,Règlement!$A$4:$I$7,4,FALSE)))</f>
        <v xml:space="preserve"> </v>
      </c>
      <c r="L23" s="122" t="str">
        <f>IF($E23=0," ",IF($E23=$D$31,VLOOKUP($C23,Règlement!$A$4:$T$7,14,FALSE),VLOOKUP($C23,Règlement!$A$4:$L$7,5,FALSE)))</f>
        <v xml:space="preserve"> </v>
      </c>
      <c r="M23" s="121" t="str">
        <f>IF($E23=0," ",IF($E23=$D$31,VLOOKUP($C23,Règlement!$A$4:$T$7,15,FALSE),VLOOKUP($C23,Règlement!$A$4:$M$7,6,FALSE)))</f>
        <v xml:space="preserve"> </v>
      </c>
      <c r="N23" s="123" t="str">
        <f>IF($E23=0," ",IF($E23=$D$31,VLOOKUP($C23,Règlement!$A$4:$T$7,17,FALSE),VLOOKUP($C23,Règlement!$A$4:$N$7,7,FALSE)))</f>
        <v xml:space="preserve"> </v>
      </c>
      <c r="O23" s="124" t="str">
        <f>IF($E23=0," ",IF($E23=$D$31,VLOOKUP($C23,Règlement!$A$4:$T$7,18,FALSE),VLOOKUP($C23,Règlement!$A$4:$O$7,8,FALSE)))</f>
        <v xml:space="preserve"> </v>
      </c>
      <c r="P23" s="123" t="str">
        <f>IF($E23=0," ",IF($E23=$D$31,VLOOKUP($C23,Règlement!$A$4:$T$7,20,FALSE),VLOOKUP($C23,Règlement!$A$4:$P$7,9,FALSE)))</f>
        <v xml:space="preserve"> </v>
      </c>
      <c r="Q23" s="131" t="str">
        <f t="shared" si="0"/>
        <v xml:space="preserve"> </v>
      </c>
      <c r="R23" s="132" t="str" cm="1">
        <f t="array" ref="R23">IF(C23=0," ",IF(AND(E23="Connues",AC23&lt;&gt;"",COUNTIFS(AC$6:AC$29,AC23,C$6:C$29,C23)&gt;1),"Doublon",IF(AND(E23="Connues",SUMPRODUCT((E$6:E$29="Connues")*(C$6:C$29=C23)*(ROW($6:$29)&lt;&gt;ROW())*(ABS(F$6:F$29-F23)&lt;=2)*((ABS(F$6:F$29-VLOOKUP(C23,Règlement!$A$4:$T$7,12,FALSE))&lt;=2)+(ABS(F$6:F$29-VLOOKUP(C23,Règlement!$A$4:$T$7,13,FALSE))&lt;=2)+(ABS(F$6:F$29-VLOOKUP(C23,Règlement!$A$4:$T$7,14,FALSE))&lt;=2)))&gt;0),"Doublon",IF($C23=0," ",IF(F23=0," ",IF(E23="Inconnues",AND(F23&gt;=K23,F23&lt;=L23),IF(AND(Règlement!$L$14="OUI",E23="Connues"),AND(F23&gt;=K23-2,F23&lt;=L23+2),OR(F23=K23,F23=K23+5,F23=L23))))))))</f>
        <v xml:space="preserve"> </v>
      </c>
      <c r="S23" s="133" t="str" cm="1">
        <f t="array" ref="S23">IF(C23=0," ",IF(AND(E23="Connues",AD23&lt;&gt;"",COUNTIFS(AD$6:AD$29,AD23,C$6:C$29,C23)&gt;1),"Doublon",IF(AND(E23="Connues",SUMPRODUCT((E$6:E$29="Connues")*(C$6:C$29=C23)*(ROW($6:$29)&lt;&gt;ROW())*(ABS(G$6:G$29-G23)&lt;=2)*((ABS(G$6:G$29-VLOOKUP(C23,Règlement!$A$4:$T$7,15,FALSE))&lt;=2)+(ABS(G$6:G$29-VLOOKUP(C23,Règlement!$A$4:$T$7,16,FALSE))&lt;=2)+(ABS(G$6:G$29-VLOOKUP(C23,Règlement!$A$4:$T$7,17,FALSE))&lt;=2)))&gt;0),"Doublon",IF($C23=0," ",IF(G23=0," ",IF(E23="Inconnues",AND(G23&gt;=M23,G23&lt;=N23),IF(AND(Règlement!$L$14="OUI",E23="Connues"),AND(G23&gt;=M23-2,G23&lt;=N23+2),OR(G23=M23,G23=M23+5,G23=N23))))))))</f>
        <v xml:space="preserve"> </v>
      </c>
      <c r="T23" s="133" t="str" cm="1">
        <f t="array" ref="T23">IF(C23=0," ",IF(AND(E23="Connues",AE23&lt;&gt;"",COUNTIFS(AE$6:AE$29,AE23,C$6:C$29,C23)&gt;1),"Doublon",IF(AND(E23="Connues",SUMPRODUCT((E$6:E$29="Connues")*(C$6:C$29=C23)*(ROW($6:$29)&lt;&gt;ROW())*(ABS(H$6:H$29-H23)&lt;=2)*((ABS(H$6:H$29-VLOOKUP(C23,Règlement!$A$4:$T$7,18,FALSE))&lt;=2)+(ABS(H$7:H$30-VLOOKUP(C23,Règlement!$A$4:$T$7,19,FALSE))&lt;=2)+(ABS(H$6:H$29-VLOOKUP(C23,Règlement!$A$4:$T$7,20,FALSE))&lt;=2)))&gt;0),"Doublon",IF($C23=0," ",IF(H23=0," ",IF(E23="Inconnues",AND(H23&gt;=O23,H23&lt;=P23),IF(AND(Règlement!$L$14="OUI",E23="Connues"),AND(H23&gt;=O23-2,H23&lt;=P23+2),OR(H23=O23,H23=O23+5,H23=P23))))))))</f>
        <v xml:space="preserve"> </v>
      </c>
      <c r="U23" s="129" t="str">
        <f>IF($C23=0," ",IF(I23=0," ",IF(Règlement!$L$14="OUI",AND(I23&gt;=O23-2,I23&lt;=Q23+2),OR(I23=O23,I23=O23+5,I23=Q23))))</f>
        <v xml:space="preserve"> </v>
      </c>
      <c r="V23" s="190" t="str">
        <f t="shared" si="5"/>
        <v xml:space="preserve"> </v>
      </c>
      <c r="W23" s="182"/>
      <c r="X23" s="182" t="str">
        <f t="shared" si="6"/>
        <v xml:space="preserve"> </v>
      </c>
      <c r="Y23" s="182"/>
      <c r="Z23" s="182" t="str">
        <f t="shared" si="7"/>
        <v xml:space="preserve"> </v>
      </c>
      <c r="AA23" s="183"/>
      <c r="AB23" s="134" t="str">
        <f t="shared" si="4"/>
        <v/>
      </c>
      <c r="AC23" s="118" t="str">
        <f>IF(
  E23="Connues",
  IF(
    ABS(F23 - VLOOKUP(C23,Règlement!$A$4:$T$7,12,FALSE))&lt;=2,
    VLOOKUP(C23,Règlement!$A$4:$T$7,12,FALSE),
    IF(
      ABS(F23 - VLOOKUP(C23,Règlement!$A$4:$T$7,13,FALSE))&lt;=2,
      VLOOKUP(C23,Règlement!$A$4:$T$7,13,FALSE),
      IF(
        ABS(F23 - VLOOKUP(C23,Règlement!$A$4:$T$7,14,FALSE))&lt;=2,
        VLOOKUP(C23,Règlement!$A$4:$T$7,14,FALSE),
        ""
      )
    )
  ),
  ""
)</f>
        <v/>
      </c>
      <c r="AD23" s="118" t="str">
        <f>IF(
  E23="Connues",
  IF(
    ABS(G23 - VLOOKUP(C23,Règlement!$A$4:$T$7,15,FALSE))&lt;=2,
    VLOOKUP(C23,Règlement!$A$4:$T$7,15,FALSE),
    IF(
      ABS(G23 - VLOOKUP(C23,Règlement!$A$4:$T$7,16,FALSE))&lt;=2,
      VLOOKUP(C23,Règlement!$A$4:$T$7,16,FALSE),
      IF(
        ABS(G23 - VLOOKUP(C23,Règlement!$A$4:$T$7,17,FALSE))&lt;=2,
        VLOOKUP(C23,Règlement!$A$4:$T$7,17,FALSE),
        ""
      )
    )
  ),
  ""
)</f>
        <v/>
      </c>
      <c r="AE23" s="118" t="str">
        <f>IF(
  E23="Connues",
  IF(
    ABS(H23 - VLOOKUP(C23,Règlement!$A$4:$T$7,15,FALSE))&lt;=2,
    VLOOKUP(C23,Règlement!$A$4:$T$7,15,FALSE),
    IF(
      ABS(H23 - VLOOKUP(C23,Règlement!$A$4:$T$7,16,FALSE))&lt;=2,
      VLOOKUP(C23,Règlement!$A$4:$T$7,16,FALSE),
      IF(
        ABS(H23 - VLOOKUP(C23,Règlement!$A$4:$T$7,17,FALSE))&lt;=2,
        VLOOKUP(C23,Règlement!$A$4:$T$7,17,FALSE),
        ""
      )
    )
  ),
  ""
)</f>
        <v/>
      </c>
    </row>
    <row r="24" spans="1:212" ht="20.75" customHeight="1">
      <c r="A24" s="130">
        <v>19</v>
      </c>
      <c r="B24" s="12"/>
      <c r="C24" s="188"/>
      <c r="D24" s="189"/>
      <c r="E24" s="69"/>
      <c r="F24" s="72"/>
      <c r="G24" s="10"/>
      <c r="H24" s="44"/>
      <c r="I24" s="178"/>
      <c r="J24" s="120"/>
      <c r="K24" s="121" t="str">
        <f>IF($E24=0," ",IF($E24=$D$31,VLOOKUP($C24,Règlement!$A$4:$T$7,12,FALSE),VLOOKUP($C24,Règlement!$A$4:$I$7,4,FALSE)))</f>
        <v xml:space="preserve"> </v>
      </c>
      <c r="L24" s="122" t="str">
        <f>IF($E24=0," ",IF($E24=$D$31,VLOOKUP($C24,Règlement!$A$4:$T$7,14,FALSE),VLOOKUP($C24,Règlement!$A$4:$L$7,5,FALSE)))</f>
        <v xml:space="preserve"> </v>
      </c>
      <c r="M24" s="121" t="str">
        <f>IF($E24=0," ",IF($E24=$D$31,VLOOKUP($C24,Règlement!$A$4:$T$7,15,FALSE),VLOOKUP($C24,Règlement!$A$4:$M$7,6,FALSE)))</f>
        <v xml:space="preserve"> </v>
      </c>
      <c r="N24" s="123" t="str">
        <f>IF($E24=0," ",IF($E24=$D$31,VLOOKUP($C24,Règlement!$A$4:$T$7,17,FALSE),VLOOKUP($C24,Règlement!$A$4:$N$7,7,FALSE)))</f>
        <v xml:space="preserve"> </v>
      </c>
      <c r="O24" s="124" t="str">
        <f>IF($E24=0," ",IF($E24=$D$31,VLOOKUP($C24,Règlement!$A$4:$T$7,18,FALSE),VLOOKUP($C24,Règlement!$A$4:$O$7,8,FALSE)))</f>
        <v xml:space="preserve"> </v>
      </c>
      <c r="P24" s="123" t="str">
        <f>IF($E24=0," ",IF($E24=$D$31,VLOOKUP($C24,Règlement!$A$4:$T$7,20,FALSE),VLOOKUP($C24,Règlement!$A$4:$P$7,9,FALSE)))</f>
        <v xml:space="preserve"> </v>
      </c>
      <c r="Q24" s="131" t="str">
        <f t="shared" si="0"/>
        <v xml:space="preserve"> </v>
      </c>
      <c r="R24" s="132" t="str" cm="1">
        <f t="array" ref="R24">IF(C24=0," ",IF(AND(E24="Connues",AC24&lt;&gt;"",COUNTIFS(AC$6:AC$29,AC24,C$6:C$29,C24)&gt;1),"Doublon",IF(AND(E24="Connues",SUMPRODUCT((E$6:E$29="Connues")*(C$6:C$29=C24)*(ROW($6:$29)&lt;&gt;ROW())*(ABS(F$6:F$29-F24)&lt;=2)*((ABS(F$6:F$29-VLOOKUP(C24,Règlement!$A$4:$T$7,12,FALSE))&lt;=2)+(ABS(F$6:F$29-VLOOKUP(C24,Règlement!$A$4:$T$7,13,FALSE))&lt;=2)+(ABS(F$6:F$29-VLOOKUP(C24,Règlement!$A$4:$T$7,14,FALSE))&lt;=2)))&gt;0),"Doublon",IF($C24=0," ",IF(F24=0," ",IF(E24="Inconnues",AND(F24&gt;=K24,F24&lt;=L24),IF(AND(Règlement!$L$14="OUI",E24="Connues"),AND(F24&gt;=K24-2,F24&lt;=L24+2),OR(F24=K24,F24=K24+5,F24=L24))))))))</f>
        <v xml:space="preserve"> </v>
      </c>
      <c r="S24" s="133" t="str" cm="1">
        <f t="array" ref="S24">IF(C24=0," ",IF(AND(E24="Connues",AD24&lt;&gt;"",COUNTIFS(AD$6:AD$29,AD24,C$6:C$29,C24)&gt;1),"Doublon",IF(AND(E24="Connues",SUMPRODUCT((E$6:E$29="Connues")*(C$6:C$29=C24)*(ROW($6:$29)&lt;&gt;ROW())*(ABS(G$6:G$29-G24)&lt;=2)*((ABS(G$6:G$29-VLOOKUP(C24,Règlement!$A$4:$T$7,15,FALSE))&lt;=2)+(ABS(G$6:G$29-VLOOKUP(C24,Règlement!$A$4:$T$7,16,FALSE))&lt;=2)+(ABS(G$6:G$29-VLOOKUP(C24,Règlement!$A$4:$T$7,17,FALSE))&lt;=2)))&gt;0),"Doublon",IF($C24=0," ",IF(G24=0," ",IF(E24="Inconnues",AND(G24&gt;=M24,G24&lt;=N24),IF(AND(Règlement!$L$14="OUI",E24="Connues"),AND(G24&gt;=M24-2,G24&lt;=N24+2),OR(G24=M24,G24=M24+5,G24=N24))))))))</f>
        <v xml:space="preserve"> </v>
      </c>
      <c r="T24" s="133" t="str" cm="1">
        <f t="array" ref="T24">IF(C24=0," ",IF(AND(E24="Connues",AE24&lt;&gt;"",COUNTIFS(AE$6:AE$29,AE24,C$6:C$29,C24)&gt;1),"Doublon",IF(AND(E24="Connues",SUMPRODUCT((E$6:E$29="Connues")*(C$6:C$29=C24)*(ROW($6:$29)&lt;&gt;ROW())*(ABS(H$6:H$29-H24)&lt;=2)*((ABS(H$6:H$29-VLOOKUP(C24,Règlement!$A$4:$T$7,18,FALSE))&lt;=2)+(ABS(H$7:H$30-VLOOKUP(C24,Règlement!$A$4:$T$7,19,FALSE))&lt;=2)+(ABS(H$6:H$29-VLOOKUP(C24,Règlement!$A$4:$T$7,20,FALSE))&lt;=2)))&gt;0),"Doublon",IF($C24=0," ",IF(H24=0," ",IF(E24="Inconnues",AND(H24&gt;=O24,H24&lt;=P24),IF(AND(Règlement!$L$14="OUI",E24="Connues"),AND(H24&gt;=O24-2,H24&lt;=P24+2),OR(H24=O24,H24=O24+5,H24=P24))))))))</f>
        <v xml:space="preserve"> </v>
      </c>
      <c r="U24" s="129" t="str">
        <f>IF($C24=0," ",IF(I24=0," ",IF(Règlement!$L$14="OUI",AND(I24&gt;=O24-2,I24&lt;=Q24+2),OR(I24=O24,I24=O24+5,I24=Q24))))</f>
        <v xml:space="preserve"> </v>
      </c>
      <c r="V24" s="190" t="str">
        <f t="shared" si="5"/>
        <v xml:space="preserve"> </v>
      </c>
      <c r="W24" s="182"/>
      <c r="X24" s="182" t="str">
        <f t="shared" si="6"/>
        <v xml:space="preserve"> </v>
      </c>
      <c r="Y24" s="182"/>
      <c r="Z24" s="182" t="str">
        <f t="shared" si="7"/>
        <v xml:space="preserve"> </v>
      </c>
      <c r="AA24" s="183"/>
      <c r="AB24" s="134" t="str">
        <f t="shared" si="4"/>
        <v/>
      </c>
      <c r="AC24" s="118" t="str">
        <f>IF(
  E24="Connues",
  IF(
    ABS(F24 - VLOOKUP(C24,Règlement!$A$4:$T$7,12,FALSE))&lt;=2,
    VLOOKUP(C24,Règlement!$A$4:$T$7,12,FALSE),
    IF(
      ABS(F24 - VLOOKUP(C24,Règlement!$A$4:$T$7,13,FALSE))&lt;=2,
      VLOOKUP(C24,Règlement!$A$4:$T$7,13,FALSE),
      IF(
        ABS(F24 - VLOOKUP(C24,Règlement!$A$4:$T$7,14,FALSE))&lt;=2,
        VLOOKUP(C24,Règlement!$A$4:$T$7,14,FALSE),
        ""
      )
    )
  ),
  ""
)</f>
        <v/>
      </c>
      <c r="AD24" s="118" t="str">
        <f>IF(
  E24="Connues",
  IF(
    ABS(G24 - VLOOKUP(C24,Règlement!$A$4:$T$7,15,FALSE))&lt;=2,
    VLOOKUP(C24,Règlement!$A$4:$T$7,15,FALSE),
    IF(
      ABS(G24 - VLOOKUP(C24,Règlement!$A$4:$T$7,16,FALSE))&lt;=2,
      VLOOKUP(C24,Règlement!$A$4:$T$7,16,FALSE),
      IF(
        ABS(G24 - VLOOKUP(C24,Règlement!$A$4:$T$7,17,FALSE))&lt;=2,
        VLOOKUP(C24,Règlement!$A$4:$T$7,17,FALSE),
        ""
      )
    )
  ),
  ""
)</f>
        <v/>
      </c>
      <c r="AE24" s="118" t="str">
        <f>IF(
  E24="Connues",
  IF(
    ABS(H24 - VLOOKUP(C24,Règlement!$A$4:$T$7,15,FALSE))&lt;=2,
    VLOOKUP(C24,Règlement!$A$4:$T$7,15,FALSE),
    IF(
      ABS(H24 - VLOOKUP(C24,Règlement!$A$4:$T$7,16,FALSE))&lt;=2,
      VLOOKUP(C24,Règlement!$A$4:$T$7,16,FALSE),
      IF(
        ABS(H24 - VLOOKUP(C24,Règlement!$A$4:$T$7,17,FALSE))&lt;=2,
        VLOOKUP(C24,Règlement!$A$4:$T$7,17,FALSE),
        ""
      )
    )
  ),
  ""
)</f>
        <v/>
      </c>
    </row>
    <row r="25" spans="1:212" ht="20.75" customHeight="1">
      <c r="A25" s="130">
        <v>20</v>
      </c>
      <c r="B25" s="12"/>
      <c r="C25" s="188"/>
      <c r="D25" s="189"/>
      <c r="E25" s="69"/>
      <c r="F25" s="72"/>
      <c r="G25" s="10"/>
      <c r="H25" s="44"/>
      <c r="I25" s="178"/>
      <c r="J25" s="120"/>
      <c r="K25" s="121" t="str">
        <f>IF($E25=0," ",IF($E25=$D$31,VLOOKUP($C25,Règlement!$A$4:$T$7,12,FALSE),VLOOKUP($C25,Règlement!$A$4:$I$7,4,FALSE)))</f>
        <v xml:space="preserve"> </v>
      </c>
      <c r="L25" s="122" t="str">
        <f>IF($E25=0," ",IF($E25=$D$31,VLOOKUP($C25,Règlement!$A$4:$T$7,14,FALSE),VLOOKUP($C25,Règlement!$A$4:$L$7,5,FALSE)))</f>
        <v xml:space="preserve"> </v>
      </c>
      <c r="M25" s="121" t="str">
        <f>IF($E25=0," ",IF($E25=$D$31,VLOOKUP($C25,Règlement!$A$4:$T$7,15,FALSE),VLOOKUP($C25,Règlement!$A$4:$M$7,6,FALSE)))</f>
        <v xml:space="preserve"> </v>
      </c>
      <c r="N25" s="123" t="str">
        <f>IF($E25=0," ",IF($E25=$D$31,VLOOKUP($C25,Règlement!$A$4:$T$7,17,FALSE),VLOOKUP($C25,Règlement!$A$4:$N$7,7,FALSE)))</f>
        <v xml:space="preserve"> </v>
      </c>
      <c r="O25" s="124" t="str">
        <f>IF($E25=0," ",IF($E25=$D$31,VLOOKUP($C25,Règlement!$A$4:$T$7,18,FALSE),VLOOKUP($C25,Règlement!$A$4:$O$7,8,FALSE)))</f>
        <v xml:space="preserve"> </v>
      </c>
      <c r="P25" s="123" t="str">
        <f>IF($E25=0," ",IF($E25=$D$31,VLOOKUP($C25,Règlement!$A$4:$T$7,20,FALSE),VLOOKUP($C25,Règlement!$A$4:$P$7,9,FALSE)))</f>
        <v xml:space="preserve"> </v>
      </c>
      <c r="Q25" s="131" t="str">
        <f t="shared" si="0"/>
        <v xml:space="preserve"> </v>
      </c>
      <c r="R25" s="132" t="str" cm="1">
        <f t="array" ref="R25">IF(C25=0," ",IF(AND(E25="Connues",AC25&lt;&gt;"",COUNTIFS(AC$6:AC$29,AC25,C$6:C$29,C25)&gt;1),"Doublon",IF(AND(E25="Connues",SUMPRODUCT((E$6:E$29="Connues")*(C$6:C$29=C25)*(ROW($6:$29)&lt;&gt;ROW())*(ABS(F$6:F$29-F25)&lt;=2)*((ABS(F$6:F$29-VLOOKUP(C25,Règlement!$A$4:$T$7,12,FALSE))&lt;=2)+(ABS(F$6:F$29-VLOOKUP(C25,Règlement!$A$4:$T$7,13,FALSE))&lt;=2)+(ABS(F$6:F$29-VLOOKUP(C25,Règlement!$A$4:$T$7,14,FALSE))&lt;=2)))&gt;0),"Doublon",IF($C25=0," ",IF(F25=0," ",IF(E25="Inconnues",AND(F25&gt;=K25,F25&lt;=L25),IF(AND(Règlement!$L$14="OUI",E25="Connues"),AND(F25&gt;=K25-2,F25&lt;=L25+2),OR(F25=K25,F25=K25+5,F25=L25))))))))</f>
        <v xml:space="preserve"> </v>
      </c>
      <c r="S25" s="133" t="str" cm="1">
        <f t="array" ref="S25">IF(C25=0," ",IF(AND(E25="Connues",AD25&lt;&gt;"",COUNTIFS(AD$6:AD$29,AD25,C$6:C$29,C25)&gt;1),"Doublon",IF(AND(E25="Connues",SUMPRODUCT((E$6:E$29="Connues")*(C$6:C$29=C25)*(ROW($6:$29)&lt;&gt;ROW())*(ABS(G$6:G$29-G25)&lt;=2)*((ABS(G$6:G$29-VLOOKUP(C25,Règlement!$A$4:$T$7,15,FALSE))&lt;=2)+(ABS(G$6:G$29-VLOOKUP(C25,Règlement!$A$4:$T$7,16,FALSE))&lt;=2)+(ABS(G$6:G$29-VLOOKUP(C25,Règlement!$A$4:$T$7,17,FALSE))&lt;=2)))&gt;0),"Doublon",IF($C25=0," ",IF(G25=0," ",IF(E25="Inconnues",AND(G25&gt;=M25,G25&lt;=N25),IF(AND(Règlement!$L$14="OUI",E25="Connues"),AND(G25&gt;=M25-2,G25&lt;=N25+2),OR(G25=M25,G25=M25+5,G25=N25))))))))</f>
        <v xml:space="preserve"> </v>
      </c>
      <c r="T25" s="133" t="str" cm="1">
        <f t="array" ref="T25">IF(C25=0," ",IF(AND(E25="Connues",AE25&lt;&gt;"",COUNTIFS(AE$6:AE$29,AE25,C$6:C$29,C25)&gt;1),"Doublon",IF(AND(E25="Connues",SUMPRODUCT((E$6:E$29="Connues")*(C$6:C$29=C25)*(ROW($6:$29)&lt;&gt;ROW())*(ABS(H$6:H$29-H25)&lt;=2)*((ABS(H$6:H$29-VLOOKUP(C25,Règlement!$A$4:$T$7,18,FALSE))&lt;=2)+(ABS(H$7:H$30-VLOOKUP(C25,Règlement!$A$4:$T$7,19,FALSE))&lt;=2)+(ABS(H$6:H$29-VLOOKUP(C25,Règlement!$A$4:$T$7,20,FALSE))&lt;=2)))&gt;0),"Doublon",IF($C25=0," ",IF(H25=0," ",IF(E25="Inconnues",AND(H25&gt;=O25,H25&lt;=P25),IF(AND(Règlement!$L$14="OUI",E25="Connues"),AND(H25&gt;=O25-2,H25&lt;=P25+2),OR(H25=O25,H25=O25+5,H25=P25))))))))</f>
        <v xml:space="preserve"> </v>
      </c>
      <c r="U25" s="129" t="str">
        <f>IF($C25=0," ",IF(I25=0," ",IF(Règlement!$L$14="OUI",AND(I25&gt;=O25-2,I25&lt;=Q25+2),OR(I25=O25,I25=O25+5,I25=Q25))))</f>
        <v xml:space="preserve"> </v>
      </c>
      <c r="V25" s="190" t="str">
        <f t="shared" si="5"/>
        <v xml:space="preserve"> </v>
      </c>
      <c r="W25" s="182"/>
      <c r="X25" s="182" t="str">
        <f t="shared" si="6"/>
        <v xml:space="preserve"> </v>
      </c>
      <c r="Y25" s="182"/>
      <c r="Z25" s="182" t="str">
        <f t="shared" si="7"/>
        <v xml:space="preserve"> </v>
      </c>
      <c r="AA25" s="183"/>
      <c r="AB25" s="134" t="str">
        <f t="shared" si="4"/>
        <v/>
      </c>
      <c r="AC25" s="118" t="str">
        <f>IF(
  E25="Connues",
  IF(
    ABS(F25 - VLOOKUP(C25,Règlement!$A$4:$T$7,12,FALSE))&lt;=2,
    VLOOKUP(C25,Règlement!$A$4:$T$7,12,FALSE),
    IF(
      ABS(F25 - VLOOKUP(C25,Règlement!$A$4:$T$7,13,FALSE))&lt;=2,
      VLOOKUP(C25,Règlement!$A$4:$T$7,13,FALSE),
      IF(
        ABS(F25 - VLOOKUP(C25,Règlement!$A$4:$T$7,14,FALSE))&lt;=2,
        VLOOKUP(C25,Règlement!$A$4:$T$7,14,FALSE),
        ""
      )
    )
  ),
  ""
)</f>
        <v/>
      </c>
      <c r="AD25" s="118" t="str">
        <f>IF(
  E25="Connues",
  IF(
    ABS(G25 - VLOOKUP(C25,Règlement!$A$4:$T$7,15,FALSE))&lt;=2,
    VLOOKUP(C25,Règlement!$A$4:$T$7,15,FALSE),
    IF(
      ABS(G25 - VLOOKUP(C25,Règlement!$A$4:$T$7,16,FALSE))&lt;=2,
      VLOOKUP(C25,Règlement!$A$4:$T$7,16,FALSE),
      IF(
        ABS(G25 - VLOOKUP(C25,Règlement!$A$4:$T$7,17,FALSE))&lt;=2,
        VLOOKUP(C25,Règlement!$A$4:$T$7,17,FALSE),
        ""
      )
    )
  ),
  ""
)</f>
        <v/>
      </c>
      <c r="AE25" s="118" t="str">
        <f>IF(
  E25="Connues",
  IF(
    ABS(H25 - VLOOKUP(C25,Règlement!$A$4:$T$7,15,FALSE))&lt;=2,
    VLOOKUP(C25,Règlement!$A$4:$T$7,15,FALSE),
    IF(
      ABS(H25 - VLOOKUP(C25,Règlement!$A$4:$T$7,16,FALSE))&lt;=2,
      VLOOKUP(C25,Règlement!$A$4:$T$7,16,FALSE),
      IF(
        ABS(H25 - VLOOKUP(C25,Règlement!$A$4:$T$7,17,FALSE))&lt;=2,
        VLOOKUP(C25,Règlement!$A$4:$T$7,17,FALSE),
        ""
      )
    )
  ),
  ""
)</f>
        <v/>
      </c>
    </row>
    <row r="26" spans="1:212" ht="20.75" customHeight="1">
      <c r="A26" s="130">
        <v>21</v>
      </c>
      <c r="B26" s="12"/>
      <c r="C26" s="188"/>
      <c r="D26" s="189"/>
      <c r="E26" s="69"/>
      <c r="F26" s="72"/>
      <c r="G26" s="10"/>
      <c r="H26" s="44"/>
      <c r="I26" s="178"/>
      <c r="J26" s="120"/>
      <c r="K26" s="121" t="str">
        <f>IF($E26=0," ",IF($E26=$D$31,VLOOKUP($C26,Règlement!$A$4:$T$7,12,FALSE),VLOOKUP($C26,Règlement!$A$4:$I$7,4,FALSE)))</f>
        <v xml:space="preserve"> </v>
      </c>
      <c r="L26" s="122" t="str">
        <f>IF($E26=0," ",IF($E26=$D$31,VLOOKUP($C26,Règlement!$A$4:$T$7,14,FALSE),VLOOKUP($C26,Règlement!$A$4:$L$7,5,FALSE)))</f>
        <v xml:space="preserve"> </v>
      </c>
      <c r="M26" s="121" t="str">
        <f>IF($E26=0," ",IF($E26=$D$31,VLOOKUP($C26,Règlement!$A$4:$T$7,15,FALSE),VLOOKUP($C26,Règlement!$A$4:$M$7,6,FALSE)))</f>
        <v xml:space="preserve"> </v>
      </c>
      <c r="N26" s="123" t="str">
        <f>IF($E26=0," ",IF($E26=$D$31,VLOOKUP($C26,Règlement!$A$4:$T$7,17,FALSE),VLOOKUP($C26,Règlement!$A$4:$N$7,7,FALSE)))</f>
        <v xml:space="preserve"> </v>
      </c>
      <c r="O26" s="124" t="str">
        <f>IF($E26=0," ",IF($E26=$D$31,VLOOKUP($C26,Règlement!$A$4:$T$7,18,FALSE),VLOOKUP($C26,Règlement!$A$4:$O$7,8,FALSE)))</f>
        <v xml:space="preserve"> </v>
      </c>
      <c r="P26" s="123" t="str">
        <f>IF($E26=0," ",IF($E26=$D$31,VLOOKUP($C26,Règlement!$A$4:$T$7,20,FALSE),VLOOKUP($C26,Règlement!$A$4:$P$7,9,FALSE)))</f>
        <v xml:space="preserve"> </v>
      </c>
      <c r="Q26" s="131" t="str">
        <f t="shared" si="0"/>
        <v xml:space="preserve"> </v>
      </c>
      <c r="R26" s="132" t="str" cm="1">
        <f t="array" ref="R26">IF(C26=0," ",IF(AND(E26="Connues",AC26&lt;&gt;"",COUNTIFS(AC$6:AC$29,AC26,C$6:C$29,C26)&gt;1),"Doublon",IF(AND(E26="Connues",SUMPRODUCT((E$6:E$29="Connues")*(C$6:C$29=C26)*(ROW($6:$29)&lt;&gt;ROW())*(ABS(F$6:F$29-F26)&lt;=2)*((ABS(F$6:F$29-VLOOKUP(C26,Règlement!$A$4:$T$7,12,FALSE))&lt;=2)+(ABS(F$6:F$29-VLOOKUP(C26,Règlement!$A$4:$T$7,13,FALSE))&lt;=2)+(ABS(F$6:F$29-VLOOKUP(C26,Règlement!$A$4:$T$7,14,FALSE))&lt;=2)))&gt;0),"Doublon",IF($C26=0," ",IF(F26=0," ",IF(E26="Inconnues",AND(F26&gt;=K26,F26&lt;=L26),IF(AND(Règlement!$L$14="OUI",E26="Connues"),AND(F26&gt;=K26-2,F26&lt;=L26+2),OR(F26=K26,F26=K26+5,F26=L26))))))))</f>
        <v xml:space="preserve"> </v>
      </c>
      <c r="S26" s="133" t="str" cm="1">
        <f t="array" ref="S26">IF(C26=0," ",IF(AND(E26="Connues",AD26&lt;&gt;"",COUNTIFS(AD$6:AD$29,AD26,C$6:C$29,C26)&gt;1),"Doublon",IF(AND(E26="Connues",SUMPRODUCT((E$6:E$29="Connues")*(C$6:C$29=C26)*(ROW($6:$29)&lt;&gt;ROW())*(ABS(G$6:G$29-G26)&lt;=2)*((ABS(G$6:G$29-VLOOKUP(C26,Règlement!$A$4:$T$7,15,FALSE))&lt;=2)+(ABS(G$6:G$29-VLOOKUP(C26,Règlement!$A$4:$T$7,16,FALSE))&lt;=2)+(ABS(G$6:G$29-VLOOKUP(C26,Règlement!$A$4:$T$7,17,FALSE))&lt;=2)))&gt;0),"Doublon",IF($C26=0," ",IF(G26=0," ",IF(E26="Inconnues",AND(G26&gt;=M26,G26&lt;=N26),IF(AND(Règlement!$L$14="OUI",E26="Connues"),AND(G26&gt;=M26-2,G26&lt;=N26+2),OR(G26=M26,G26=M26+5,G26=N26))))))))</f>
        <v xml:space="preserve"> </v>
      </c>
      <c r="T26" s="133" t="str" cm="1">
        <f t="array" ref="T26">IF(C26=0," ",IF(AND(E26="Connues",AE26&lt;&gt;"",COUNTIFS(AE$6:AE$29,AE26,C$6:C$29,C26)&gt;1),"Doublon",IF(AND(E26="Connues",SUMPRODUCT((E$6:E$29="Connues")*(C$6:C$29=C26)*(ROW($6:$29)&lt;&gt;ROW())*(ABS(H$6:H$29-H26)&lt;=2)*((ABS(H$6:H$29-VLOOKUP(C26,Règlement!$A$4:$T$7,18,FALSE))&lt;=2)+(ABS(H$7:H$30-VLOOKUP(C26,Règlement!$A$4:$T$7,19,FALSE))&lt;=2)+(ABS(H$6:H$29-VLOOKUP(C26,Règlement!$A$4:$T$7,20,FALSE))&lt;=2)))&gt;0),"Doublon",IF($C26=0," ",IF(H26=0," ",IF(E26="Inconnues",AND(H26&gt;=O26,H26&lt;=P26),IF(AND(Règlement!$L$14="OUI",E26="Connues"),AND(H26&gt;=O26-2,H26&lt;=P26+2),OR(H26=O26,H26=O26+5,H26=P26))))))))</f>
        <v xml:space="preserve"> </v>
      </c>
      <c r="U26" s="129" t="str">
        <f>IF($C26=0," ",IF(I26=0," ",IF(Règlement!$L$14="OUI",AND(I26&gt;=O26-2,I26&lt;=Q26+2),OR(I26=O26,I26=O26+5,I26=Q26))))</f>
        <v xml:space="preserve"> </v>
      </c>
      <c r="V26" s="190" t="str">
        <f t="shared" si="5"/>
        <v xml:space="preserve"> </v>
      </c>
      <c r="W26" s="182"/>
      <c r="X26" s="182" t="str">
        <f t="shared" si="6"/>
        <v xml:space="preserve"> </v>
      </c>
      <c r="Y26" s="182"/>
      <c r="Z26" s="182" t="str">
        <f t="shared" si="7"/>
        <v xml:space="preserve"> </v>
      </c>
      <c r="AA26" s="183"/>
      <c r="AB26" s="134" t="str">
        <f t="shared" si="4"/>
        <v/>
      </c>
      <c r="AC26" s="118" t="str">
        <f>IF(
  E26="Connues",
  IF(
    ABS(F26 - VLOOKUP(C26,Règlement!$A$4:$T$7,12,FALSE))&lt;=2,
    VLOOKUP(C26,Règlement!$A$4:$T$7,12,FALSE),
    IF(
      ABS(F26 - VLOOKUP(C26,Règlement!$A$4:$T$7,13,FALSE))&lt;=2,
      VLOOKUP(C26,Règlement!$A$4:$T$7,13,FALSE),
      IF(
        ABS(F26 - VLOOKUP(C26,Règlement!$A$4:$T$7,14,FALSE))&lt;=2,
        VLOOKUP(C26,Règlement!$A$4:$T$7,14,FALSE),
        ""
      )
    )
  ),
  ""
)</f>
        <v/>
      </c>
      <c r="AD26" s="118" t="str">
        <f>IF(
  E26="Connues",
  IF(
    ABS(G26 - VLOOKUP(C26,Règlement!$A$4:$T$7,15,FALSE))&lt;=2,
    VLOOKUP(C26,Règlement!$A$4:$T$7,15,FALSE),
    IF(
      ABS(G26 - VLOOKUP(C26,Règlement!$A$4:$T$7,16,FALSE))&lt;=2,
      VLOOKUP(C26,Règlement!$A$4:$T$7,16,FALSE),
      IF(
        ABS(G26 - VLOOKUP(C26,Règlement!$A$4:$T$7,17,FALSE))&lt;=2,
        VLOOKUP(C26,Règlement!$A$4:$T$7,17,FALSE),
        ""
      )
    )
  ),
  ""
)</f>
        <v/>
      </c>
      <c r="AE26" s="118" t="str">
        <f>IF(
  E26="Connues",
  IF(
    ABS(H26 - VLOOKUP(C26,Règlement!$A$4:$T$7,15,FALSE))&lt;=2,
    VLOOKUP(C26,Règlement!$A$4:$T$7,15,FALSE),
    IF(
      ABS(H26 - VLOOKUP(C26,Règlement!$A$4:$T$7,16,FALSE))&lt;=2,
      VLOOKUP(C26,Règlement!$A$4:$T$7,16,FALSE),
      IF(
        ABS(H26 - VLOOKUP(C26,Règlement!$A$4:$T$7,17,FALSE))&lt;=2,
        VLOOKUP(C26,Règlement!$A$4:$T$7,17,FALSE),
        ""
      )
    )
  ),
  ""
)</f>
        <v/>
      </c>
    </row>
    <row r="27" spans="1:212" ht="20.75" customHeight="1">
      <c r="A27" s="130">
        <v>22</v>
      </c>
      <c r="B27" s="12"/>
      <c r="C27" s="188"/>
      <c r="D27" s="189"/>
      <c r="E27" s="69"/>
      <c r="F27" s="72"/>
      <c r="G27" s="10"/>
      <c r="H27" s="44"/>
      <c r="I27" s="178"/>
      <c r="J27" s="120"/>
      <c r="K27" s="121" t="str">
        <f>IF($E27=0," ",IF($E27=$D$31,VLOOKUP($C27,Règlement!$A$4:$T$7,12,FALSE),VLOOKUP($C27,Règlement!$A$4:$I$7,4,FALSE)))</f>
        <v xml:space="preserve"> </v>
      </c>
      <c r="L27" s="122" t="str">
        <f>IF($E27=0," ",IF($E27=$D$31,VLOOKUP($C27,Règlement!$A$4:$T$7,14,FALSE),VLOOKUP($C27,Règlement!$A$4:$L$7,5,FALSE)))</f>
        <v xml:space="preserve"> </v>
      </c>
      <c r="M27" s="121" t="str">
        <f>IF($E27=0," ",IF($E27=$D$31,VLOOKUP($C27,Règlement!$A$4:$T$7,15,FALSE),VLOOKUP($C27,Règlement!$A$4:$M$7,6,FALSE)))</f>
        <v xml:space="preserve"> </v>
      </c>
      <c r="N27" s="123" t="str">
        <f>IF($E27=0," ",IF($E27=$D$31,VLOOKUP($C27,Règlement!$A$4:$T$7,17,FALSE),VLOOKUP($C27,Règlement!$A$4:$N$7,7,FALSE)))</f>
        <v xml:space="preserve"> </v>
      </c>
      <c r="O27" s="124" t="str">
        <f>IF($E27=0," ",IF($E27=$D$31,VLOOKUP($C27,Règlement!$A$4:$T$7,18,FALSE),VLOOKUP($C27,Règlement!$A$4:$O$7,8,FALSE)))</f>
        <v xml:space="preserve"> </v>
      </c>
      <c r="P27" s="123" t="str">
        <f>IF($E27=0," ",IF($E27=$D$31,VLOOKUP($C27,Règlement!$A$4:$T$7,20,FALSE),VLOOKUP($C27,Règlement!$A$4:$P$7,9,FALSE)))</f>
        <v xml:space="preserve"> </v>
      </c>
      <c r="Q27" s="131" t="str">
        <f t="shared" si="0"/>
        <v xml:space="preserve"> </v>
      </c>
      <c r="R27" s="132" t="str" cm="1">
        <f t="array" ref="R27">IF(C27=0," ",IF(AND(E27="Connues",AC27&lt;&gt;"",COUNTIFS(AC$6:AC$29,AC27,C$6:C$29,C27)&gt;1),"Doublon",IF(AND(E27="Connues",SUMPRODUCT((E$6:E$29="Connues")*(C$6:C$29=C27)*(ROW($6:$29)&lt;&gt;ROW())*(ABS(F$6:F$29-F27)&lt;=2)*((ABS(F$6:F$29-VLOOKUP(C27,Règlement!$A$4:$T$7,12,FALSE))&lt;=2)+(ABS(F$6:F$29-VLOOKUP(C27,Règlement!$A$4:$T$7,13,FALSE))&lt;=2)+(ABS(F$6:F$29-VLOOKUP(C27,Règlement!$A$4:$T$7,14,FALSE))&lt;=2)))&gt;0),"Doublon",IF($C27=0," ",IF(F27=0," ",IF(E27="Inconnues",AND(F27&gt;=K27,F27&lt;=L27),IF(AND(Règlement!$L$14="OUI",E27="Connues"),AND(F27&gt;=K27-2,F27&lt;=L27+2),OR(F27=K27,F27=K27+5,F27=L27))))))))</f>
        <v xml:space="preserve"> </v>
      </c>
      <c r="S27" s="133" t="str" cm="1">
        <f t="array" ref="S27">IF(C27=0," ",IF(AND(E27="Connues",AD27&lt;&gt;"",COUNTIFS(AD$6:AD$29,AD27,C$6:C$29,C27)&gt;1),"Doublon",IF(AND(E27="Connues",SUMPRODUCT((E$6:E$29="Connues")*(C$6:C$29=C27)*(ROW($6:$29)&lt;&gt;ROW())*(ABS(G$6:G$29-G27)&lt;=2)*((ABS(G$6:G$29-VLOOKUP(C27,Règlement!$A$4:$T$7,15,FALSE))&lt;=2)+(ABS(G$6:G$29-VLOOKUP(C27,Règlement!$A$4:$T$7,16,FALSE))&lt;=2)+(ABS(G$6:G$29-VLOOKUP(C27,Règlement!$A$4:$T$7,17,FALSE))&lt;=2)))&gt;0),"Doublon",IF($C27=0," ",IF(G27=0," ",IF(E27="Inconnues",AND(G27&gt;=M27,G27&lt;=N27),IF(AND(Règlement!$L$14="OUI",E27="Connues"),AND(G27&gt;=M27-2,G27&lt;=N27+2),OR(G27=M27,G27=M27+5,G27=N27))))))))</f>
        <v xml:space="preserve"> </v>
      </c>
      <c r="T27" s="133" t="str" cm="1">
        <f t="array" ref="T27">IF(C27=0," ",IF(AND(E27="Connues",AE27&lt;&gt;"",COUNTIFS(AE$6:AE$29,AE27,C$6:C$29,C27)&gt;1),"Doublon",IF(AND(E27="Connues",SUMPRODUCT((E$6:E$29="Connues")*(C$6:C$29=C27)*(ROW($6:$29)&lt;&gt;ROW())*(ABS(H$6:H$29-H27)&lt;=2)*((ABS(H$6:H$29-VLOOKUP(C27,Règlement!$A$4:$T$7,18,FALSE))&lt;=2)+(ABS(H$7:H$30-VLOOKUP(C27,Règlement!$A$4:$T$7,19,FALSE))&lt;=2)+(ABS(H$6:H$29-VLOOKUP(C27,Règlement!$A$4:$T$7,20,FALSE))&lt;=2)))&gt;0),"Doublon",IF($C27=0," ",IF(H27=0," ",IF(E27="Inconnues",AND(H27&gt;=O27,H27&lt;=P27),IF(AND(Règlement!$L$14="OUI",E27="Connues"),AND(H27&gt;=O27-2,H27&lt;=P27+2),OR(H27=O27,H27=O27+5,H27=P27))))))))</f>
        <v xml:space="preserve"> </v>
      </c>
      <c r="U27" s="129" t="str">
        <f>IF($C27=0," ",IF(I27=0," ",IF(Règlement!$L$14="OUI",AND(I27&gt;=O27-2,I27&lt;=Q27+2),OR(I27=O27,I27=O27+5,I27=Q27))))</f>
        <v xml:space="preserve"> </v>
      </c>
      <c r="V27" s="190" t="str">
        <f t="shared" si="5"/>
        <v xml:space="preserve"> </v>
      </c>
      <c r="W27" s="182"/>
      <c r="X27" s="182" t="str">
        <f t="shared" si="6"/>
        <v xml:space="preserve"> </v>
      </c>
      <c r="Y27" s="182"/>
      <c r="Z27" s="182" t="str">
        <f t="shared" si="7"/>
        <v xml:space="preserve"> </v>
      </c>
      <c r="AA27" s="183"/>
      <c r="AB27" s="134" t="str">
        <f t="shared" si="4"/>
        <v/>
      </c>
      <c r="AC27" s="118" t="str">
        <f>IF(
  E27="Connues",
  IF(
    ABS(F27 - VLOOKUP(C27,Règlement!$A$4:$T$7,12,FALSE))&lt;=2,
    VLOOKUP(C27,Règlement!$A$4:$T$7,12,FALSE),
    IF(
      ABS(F27 - VLOOKUP(C27,Règlement!$A$4:$T$7,13,FALSE))&lt;=2,
      VLOOKUP(C27,Règlement!$A$4:$T$7,13,FALSE),
      IF(
        ABS(F27 - VLOOKUP(C27,Règlement!$A$4:$T$7,14,FALSE))&lt;=2,
        VLOOKUP(C27,Règlement!$A$4:$T$7,14,FALSE),
        ""
      )
    )
  ),
  ""
)</f>
        <v/>
      </c>
      <c r="AD27" s="118" t="str">
        <f>IF(
  E27="Connues",
  IF(
    ABS(G27 - VLOOKUP(C27,Règlement!$A$4:$T$7,15,FALSE))&lt;=2,
    VLOOKUP(C27,Règlement!$A$4:$T$7,15,FALSE),
    IF(
      ABS(G27 - VLOOKUP(C27,Règlement!$A$4:$T$7,16,FALSE))&lt;=2,
      VLOOKUP(C27,Règlement!$A$4:$T$7,16,FALSE),
      IF(
        ABS(G27 - VLOOKUP(C27,Règlement!$A$4:$T$7,17,FALSE))&lt;=2,
        VLOOKUP(C27,Règlement!$A$4:$T$7,17,FALSE),
        ""
      )
    )
  ),
  ""
)</f>
        <v/>
      </c>
      <c r="AE27" s="118" t="str">
        <f>IF(
  E27="Connues",
  IF(
    ABS(H27 - VLOOKUP(C27,Règlement!$A$4:$T$7,15,FALSE))&lt;=2,
    VLOOKUP(C27,Règlement!$A$4:$T$7,15,FALSE),
    IF(
      ABS(H27 - VLOOKUP(C27,Règlement!$A$4:$T$7,16,FALSE))&lt;=2,
      VLOOKUP(C27,Règlement!$A$4:$T$7,16,FALSE),
      IF(
        ABS(H27 - VLOOKUP(C27,Règlement!$A$4:$T$7,17,FALSE))&lt;=2,
        VLOOKUP(C27,Règlement!$A$4:$T$7,17,FALSE),
        ""
      )
    )
  ),
  ""
)</f>
        <v/>
      </c>
    </row>
    <row r="28" spans="1:212" ht="20.75" customHeight="1">
      <c r="A28" s="130">
        <v>23</v>
      </c>
      <c r="B28" s="12"/>
      <c r="C28" s="188"/>
      <c r="D28" s="189"/>
      <c r="E28" s="69"/>
      <c r="F28" s="72"/>
      <c r="G28" s="10"/>
      <c r="H28" s="44"/>
      <c r="I28" s="178"/>
      <c r="J28" s="120"/>
      <c r="K28" s="121" t="str">
        <f>IF($E28=0," ",IF($E28=$D$31,VLOOKUP($C28,Règlement!$A$4:$T$7,12,FALSE),VLOOKUP($C28,Règlement!$A$4:$I$7,4,FALSE)))</f>
        <v xml:space="preserve"> </v>
      </c>
      <c r="L28" s="122" t="str">
        <f>IF($E28=0," ",IF($E28=$D$31,VLOOKUP($C28,Règlement!$A$4:$T$7,14,FALSE),VLOOKUP($C28,Règlement!$A$4:$L$7,5,FALSE)))</f>
        <v xml:space="preserve"> </v>
      </c>
      <c r="M28" s="121" t="str">
        <f>IF($E28=0," ",IF($E28=$D$31,VLOOKUP($C28,Règlement!$A$4:$T$7,15,FALSE),VLOOKUP($C28,Règlement!$A$4:$M$7,6,FALSE)))</f>
        <v xml:space="preserve"> </v>
      </c>
      <c r="N28" s="123" t="str">
        <f>IF($E28=0," ",IF($E28=$D$31,VLOOKUP($C28,Règlement!$A$4:$T$7,17,FALSE),VLOOKUP($C28,Règlement!$A$4:$N$7,7,FALSE)))</f>
        <v xml:space="preserve"> </v>
      </c>
      <c r="O28" s="124" t="str">
        <f>IF($E28=0," ",IF($E28=$D$31,VLOOKUP($C28,Règlement!$A$4:$T$7,18,FALSE),VLOOKUP($C28,Règlement!$A$4:$O$7,8,FALSE)))</f>
        <v xml:space="preserve"> </v>
      </c>
      <c r="P28" s="123" t="str">
        <f>IF($E28=0," ",IF($E28=$D$31,VLOOKUP($C28,Règlement!$A$4:$T$7,20,FALSE),VLOOKUP($C28,Règlement!$A$4:$P$7,9,FALSE)))</f>
        <v xml:space="preserve"> </v>
      </c>
      <c r="Q28" s="131" t="str">
        <f t="shared" si="0"/>
        <v xml:space="preserve"> </v>
      </c>
      <c r="R28" s="132" t="str" cm="1">
        <f t="array" ref="R28">IF(C28=0," ",IF(AND(E28="Connues",AC28&lt;&gt;"",COUNTIFS(AC$6:AC$29,AC28,C$6:C$29,C28)&gt;1),"Doublon",IF(AND(E28="Connues",SUMPRODUCT((E$6:E$29="Connues")*(C$6:C$29=C28)*(ROW($6:$29)&lt;&gt;ROW())*(ABS(F$6:F$29-F28)&lt;=2)*((ABS(F$6:F$29-VLOOKUP(C28,Règlement!$A$4:$T$7,12,FALSE))&lt;=2)+(ABS(F$6:F$29-VLOOKUP(C28,Règlement!$A$4:$T$7,13,FALSE))&lt;=2)+(ABS(F$6:F$29-VLOOKUP(C28,Règlement!$A$4:$T$7,14,FALSE))&lt;=2)))&gt;0),"Doublon",IF($C28=0," ",IF(F28=0," ",IF(E28="Inconnues",AND(F28&gt;=K28,F28&lt;=L28),IF(AND(Règlement!$L$14="OUI",E28="Connues"),AND(F28&gt;=K28-2,F28&lt;=L28+2),OR(F28=K28,F28=K28+5,F28=L28))))))))</f>
        <v xml:space="preserve"> </v>
      </c>
      <c r="S28" s="133" t="str" cm="1">
        <f t="array" ref="S28">IF(C28=0," ",IF(AND(E28="Connues",AD28&lt;&gt;"",COUNTIFS(AD$6:AD$29,AD28,C$6:C$29,C28)&gt;1),"Doublon",IF(AND(E28="Connues",SUMPRODUCT((E$6:E$29="Connues")*(C$6:C$29=C28)*(ROW($6:$29)&lt;&gt;ROW())*(ABS(G$6:G$29-G28)&lt;=2)*((ABS(G$6:G$29-VLOOKUP(C28,Règlement!$A$4:$T$7,15,FALSE))&lt;=2)+(ABS(G$6:G$29-VLOOKUP(C28,Règlement!$A$4:$T$7,16,FALSE))&lt;=2)+(ABS(G$6:G$29-VLOOKUP(C28,Règlement!$A$4:$T$7,17,FALSE))&lt;=2)))&gt;0),"Doublon",IF($C28=0," ",IF(G28=0," ",IF(E28="Inconnues",AND(G28&gt;=M28,G28&lt;=N28),IF(AND(Règlement!$L$14="OUI",E28="Connues"),AND(G28&gt;=M28-2,G28&lt;=N28+2),OR(G28=M28,G28=M28+5,G28=N28))))))))</f>
        <v xml:space="preserve"> </v>
      </c>
      <c r="T28" s="133" t="str" cm="1">
        <f t="array" ref="T28">IF(C28=0," ",IF(AND(E28="Connues",AE28&lt;&gt;"",COUNTIFS(AE$6:AE$29,AE28,C$6:C$29,C28)&gt;1),"Doublon",IF(AND(E28="Connues",SUMPRODUCT((E$6:E$29="Connues")*(C$6:C$29=C28)*(ROW($6:$29)&lt;&gt;ROW())*(ABS(H$6:H$29-H28)&lt;=2)*((ABS(H$6:H$29-VLOOKUP(C28,Règlement!$A$4:$T$7,18,FALSE))&lt;=2)+(ABS(H$7:H$30-VLOOKUP(C28,Règlement!$A$4:$T$7,19,FALSE))&lt;=2)+(ABS(H$6:H$29-VLOOKUP(C28,Règlement!$A$4:$T$7,20,FALSE))&lt;=2)))&gt;0),"Doublon",IF($C28=0," ",IF(H28=0," ",IF(E28="Inconnues",AND(H28&gt;=O28,H28&lt;=P28),IF(AND(Règlement!$L$14="OUI",E28="Connues"),AND(H28&gt;=O28-2,H28&lt;=P28+2),OR(H28=O28,H28=O28+5,H28=P28))))))))</f>
        <v xml:space="preserve"> </v>
      </c>
      <c r="U28" s="129" t="str">
        <f>IF($C28=0," ",IF(I28=0," ",IF(Règlement!$L$14="OUI",AND(I28&gt;=O28-2,I28&lt;=Q28+2),OR(I28=O28,I28=O28+5,I28=Q28))))</f>
        <v xml:space="preserve"> </v>
      </c>
      <c r="V28" s="190" t="str">
        <f t="shared" si="5"/>
        <v xml:space="preserve"> </v>
      </c>
      <c r="W28" s="182"/>
      <c r="X28" s="182" t="str">
        <f t="shared" si="6"/>
        <v xml:space="preserve"> </v>
      </c>
      <c r="Y28" s="182"/>
      <c r="Z28" s="182" t="str">
        <f t="shared" si="7"/>
        <v xml:space="preserve"> </v>
      </c>
      <c r="AA28" s="183"/>
      <c r="AB28" s="134" t="str">
        <f t="shared" si="4"/>
        <v/>
      </c>
      <c r="AC28" s="118" t="str">
        <f>IF(
  E28="Connues",
  IF(
    ABS(F28 - VLOOKUP(C28,Règlement!$A$4:$T$7,12,FALSE))&lt;=2,
    VLOOKUP(C28,Règlement!$A$4:$T$7,12,FALSE),
    IF(
      ABS(F28 - VLOOKUP(C28,Règlement!$A$4:$T$7,13,FALSE))&lt;=2,
      VLOOKUP(C28,Règlement!$A$4:$T$7,13,FALSE),
      IF(
        ABS(F28 - VLOOKUP(C28,Règlement!$A$4:$T$7,14,FALSE))&lt;=2,
        VLOOKUP(C28,Règlement!$A$4:$T$7,14,FALSE),
        ""
      )
    )
  ),
  ""
)</f>
        <v/>
      </c>
      <c r="AD28" s="118" t="str">
        <f>IF(
  E28="Connues",
  IF(
    ABS(G28 - VLOOKUP(C28,Règlement!$A$4:$T$7,15,FALSE))&lt;=2,
    VLOOKUP(C28,Règlement!$A$4:$T$7,15,FALSE),
    IF(
      ABS(G28 - VLOOKUP(C28,Règlement!$A$4:$T$7,16,FALSE))&lt;=2,
      VLOOKUP(C28,Règlement!$A$4:$T$7,16,FALSE),
      IF(
        ABS(G28 - VLOOKUP(C28,Règlement!$A$4:$T$7,17,FALSE))&lt;=2,
        VLOOKUP(C28,Règlement!$A$4:$T$7,17,FALSE),
        ""
      )
    )
  ),
  ""
)</f>
        <v/>
      </c>
      <c r="AE28" s="118" t="str">
        <f>IF(
  E28="Connues",
  IF(
    ABS(H28 - VLOOKUP(C28,Règlement!$A$4:$T$7,15,FALSE))&lt;=2,
    VLOOKUP(C28,Règlement!$A$4:$T$7,15,FALSE),
    IF(
      ABS(H28 - VLOOKUP(C28,Règlement!$A$4:$T$7,16,FALSE))&lt;=2,
      VLOOKUP(C28,Règlement!$A$4:$T$7,16,FALSE),
      IF(
        ABS(H28 - VLOOKUP(C28,Règlement!$A$4:$T$7,17,FALSE))&lt;=2,
        VLOOKUP(C28,Règlement!$A$4:$T$7,17,FALSE),
        ""
      )
    )
  ),
  ""
)</f>
        <v/>
      </c>
    </row>
    <row r="29" spans="1:212" ht="20.75" customHeight="1" thickBot="1">
      <c r="A29" s="135">
        <v>24</v>
      </c>
      <c r="B29" s="13"/>
      <c r="C29" s="191"/>
      <c r="D29" s="192"/>
      <c r="E29" s="70"/>
      <c r="F29" s="73"/>
      <c r="G29" s="11"/>
      <c r="H29" s="45"/>
      <c r="I29" s="179"/>
      <c r="J29" s="120"/>
      <c r="K29" s="121" t="str">
        <f>IF($E29=0," ",IF($E29=$D$31,VLOOKUP($C29,Règlement!$A$4:$T$7,12,FALSE),VLOOKUP($C29,Règlement!$A$4:$I$7,4,FALSE)))</f>
        <v xml:space="preserve"> </v>
      </c>
      <c r="L29" s="122" t="str">
        <f>IF($E29=0," ",IF($E29=$D$31,VLOOKUP($C29,Règlement!$A$4:$T$7,14,FALSE),VLOOKUP($C29,Règlement!$A$4:$L$7,5,FALSE)))</f>
        <v xml:space="preserve"> </v>
      </c>
      <c r="M29" s="121" t="str">
        <f>IF($E29=0," ",IF($E29=$D$31,VLOOKUP($C29,Règlement!$A$4:$T$7,15,FALSE),VLOOKUP($C29,Règlement!$A$4:$M$7,6,FALSE)))</f>
        <v xml:space="preserve"> </v>
      </c>
      <c r="N29" s="123" t="str">
        <f>IF($E29=0," ",IF($E29=$D$31,VLOOKUP($C29,Règlement!$A$4:$T$7,17,FALSE),VLOOKUP($C29,Règlement!$A$4:$N$7,7,FALSE)))</f>
        <v xml:space="preserve"> </v>
      </c>
      <c r="O29" s="124" t="str">
        <f>IF($E29=0," ",IF($E29=$D$31,VLOOKUP($C29,Règlement!$A$4:$T$7,18,FALSE),VLOOKUP($C29,Règlement!$A$4:$O$7,8,FALSE)))</f>
        <v xml:space="preserve"> </v>
      </c>
      <c r="P29" s="123" t="str">
        <f>IF($E29=0," ",IF($E29=$D$31,VLOOKUP($C29,Règlement!$A$4:$T$7,20,FALSE),VLOOKUP($C29,Règlement!$A$4:$P$7,9,FALSE)))</f>
        <v xml:space="preserve"> </v>
      </c>
      <c r="Q29" s="136" t="str">
        <f t="shared" si="0"/>
        <v xml:space="preserve"> </v>
      </c>
      <c r="R29" s="137" t="str" cm="1">
        <f t="array" ref="R29">IF(C29=0," ",IF(AND(E29="Connues",AC29&lt;&gt;"",COUNTIFS(AC$6:AC$29,AC29,C$6:C$29,C29)&gt;1),"Doublon",IF(AND(E29="Connues",SUMPRODUCT((E$6:E$29="Connues")*(C$6:C$29=C29)*(ROW($6:$29)&lt;&gt;ROW())*(ABS(F$6:F$29-F29)&lt;=2)*((ABS(F$6:F$29-VLOOKUP(C29,Règlement!$A$4:$T$7,12,FALSE))&lt;=2)+(ABS(F$6:F$29-VLOOKUP(C29,Règlement!$A$4:$T$7,13,FALSE))&lt;=2)+(ABS(F$6:F$29-VLOOKUP(C29,Règlement!$A$4:$T$7,14,FALSE))&lt;=2)))&gt;0),"Doublon",IF($C29=0," ",IF(F29=0," ",IF(E29="Inconnues",AND(F29&gt;=K29,F29&lt;=L29),IF(AND(Règlement!$L$14="OUI",E29="Connues"),AND(F29&gt;=K29-2,F29&lt;=L29+2),OR(F29=K29,F29=K29+5,F29=L29))))))))</f>
        <v xml:space="preserve"> </v>
      </c>
      <c r="S29" s="138" t="str" cm="1">
        <f t="array" ref="S29">IF(C29=0," ",IF(AND(E29="Connues",AD29&lt;&gt;"",COUNTIFS(AD$6:AD$29,AD29,C$6:C$29,C29)&gt;1),"Doublon",IF(AND(E29="Connues",SUMPRODUCT((E$6:E$29="Connues")*(C$6:C$29=C29)*(ROW($6:$29)&lt;&gt;ROW())*(ABS(G$6:G$29-G29)&lt;=2)*((ABS(G$6:G$29-VLOOKUP(C29,Règlement!$A$4:$T$7,15,FALSE))&lt;=2)+(ABS(G$6:G$29-VLOOKUP(C29,Règlement!$A$4:$T$7,16,FALSE))&lt;=2)+(ABS(G$6:G$29-VLOOKUP(C29,Règlement!$A$4:$T$7,17,FALSE))&lt;=2)))&gt;0),"Doublon",IF($C29=0," ",IF(G29=0," ",IF(E29="Inconnues",AND(G29&gt;=M29,G29&lt;=N29),IF(AND(Règlement!$L$14="OUI",E29="Connues"),AND(G29&gt;=M29-2,G29&lt;=N29+2),OR(G29=M29,G29=M29+5,G29=N29))))))))</f>
        <v xml:space="preserve"> </v>
      </c>
      <c r="T29" s="138" t="str" cm="1">
        <f t="array" ref="T29">IF(C29=0," ",IF(AND(E29="Connues",AE29&lt;&gt;"",COUNTIFS(AE$6:AE$29,AE29,C$6:C$29,C29)&gt;1),"Doublon",IF(AND(E29="Connues",SUMPRODUCT((E$6:E$29="Connues")*(C$6:C$29=C29)*(ROW($6:$29)&lt;&gt;ROW())*(ABS(H$6:H$29-H29)&lt;=2)*((ABS(H$6:H$29-VLOOKUP(C29,Règlement!$A$4:$T$7,18,FALSE))&lt;=2)+(ABS(H$7:H$30-VLOOKUP(C29,Règlement!$A$4:$T$7,19,FALSE))&lt;=2)+(ABS(H$6:H$29-VLOOKUP(C29,Règlement!$A$4:$T$7,20,FALSE))&lt;=2)))&gt;0),"Doublon",IF($C29=0," ",IF(H29=0," ",IF(E29="Inconnues",AND(H29&gt;=O29,H29&lt;=P29),IF(AND(Règlement!$L$14="OUI",E29="Connues"),AND(H29&gt;=O29-2,H29&lt;=P29+2),OR(H29=O29,H29=O29+5,H29=P29))))))))</f>
        <v xml:space="preserve"> </v>
      </c>
      <c r="U29" s="139" t="str">
        <f>IF($C29=0," ",IF(I29=0," ",IF(Règlement!$L$14="OUI",AND(I29&gt;=O29-2,I29&lt;=Q29+2),OR(I29=O29,I29=O29+5,I29=Q29))))</f>
        <v xml:space="preserve"> </v>
      </c>
      <c r="V29" s="197" t="str">
        <f t="shared" si="5"/>
        <v xml:space="preserve"> </v>
      </c>
      <c r="W29" s="184"/>
      <c r="X29" s="184" t="str">
        <f t="shared" si="6"/>
        <v xml:space="preserve"> </v>
      </c>
      <c r="Y29" s="184"/>
      <c r="Z29" s="184" t="str">
        <f t="shared" si="7"/>
        <v xml:space="preserve"> </v>
      </c>
      <c r="AA29" s="185"/>
      <c r="AB29" s="134" t="str">
        <f t="shared" si="4"/>
        <v/>
      </c>
      <c r="AC29" s="118" t="str">
        <f>IF(
  E29="Connues",
  IF(
    ABS(F29 - VLOOKUP(C29,Règlement!$A$4:$T$7,12,FALSE))&lt;=2,
    VLOOKUP(C29,Règlement!$A$4:$T$7,12,FALSE),
    IF(
      ABS(F29 - VLOOKUP(C29,Règlement!$A$4:$T$7,13,FALSE))&lt;=2,
      VLOOKUP(C29,Règlement!$A$4:$T$7,13,FALSE),
      IF(
        ABS(F29 - VLOOKUP(C29,Règlement!$A$4:$T$7,14,FALSE))&lt;=2,
        VLOOKUP(C29,Règlement!$A$4:$T$7,14,FALSE),
        ""
      )
    )
  ),
  ""
)</f>
        <v/>
      </c>
      <c r="AD29" s="118" t="str">
        <f>IF(
  E29="Connues",
  IF(
    ABS(G29 - VLOOKUP(C29,Règlement!$A$4:$T$7,15,FALSE))&lt;=2,
    VLOOKUP(C29,Règlement!$A$4:$T$7,15,FALSE),
    IF(
      ABS(G29 - VLOOKUP(C29,Règlement!$A$4:$T$7,16,FALSE))&lt;=2,
      VLOOKUP(C29,Règlement!$A$4:$T$7,16,FALSE),
      IF(
        ABS(G29 - VLOOKUP(C29,Règlement!$A$4:$T$7,17,FALSE))&lt;=2,
        VLOOKUP(C29,Règlement!$A$4:$T$7,17,FALSE),
        ""
      )
    )
  ),
  ""
)</f>
        <v/>
      </c>
      <c r="AE29" s="118" t="str">
        <f>IF(
  E29="Connues",
  IF(
    ABS(H29 - VLOOKUP(C29,Règlement!$A$4:$T$7,15,FALSE))&lt;=2,
    VLOOKUP(C29,Règlement!$A$4:$T$7,15,FALSE),
    IF(
      ABS(H29 - VLOOKUP(C29,Règlement!$A$4:$T$7,16,FALSE))&lt;=2,
      VLOOKUP(C29,Règlement!$A$4:$T$7,16,FALSE),
      IF(
        ABS(H29 - VLOOKUP(C29,Règlement!$A$4:$T$7,17,FALSE))&lt;=2,
        VLOOKUP(C29,Règlement!$A$4:$T$7,17,FALSE),
        ""
      )
    )
  ),
  ""
)</f>
        <v/>
      </c>
    </row>
    <row r="30" spans="1:212" ht="19.75" customHeight="1" thickBot="1">
      <c r="A30" s="140"/>
      <c r="B30" s="141"/>
      <c r="C30" s="140"/>
      <c r="F30" s="143"/>
      <c r="G30" s="143"/>
      <c r="H30" s="143"/>
      <c r="I30" s="143"/>
      <c r="J30" s="144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</row>
    <row r="31" spans="1:212" ht="27" customHeight="1" thickBot="1">
      <c r="A31" s="140"/>
      <c r="B31" s="145" t="s">
        <v>15</v>
      </c>
      <c r="C31" s="146" t="str">
        <f>Règlement!D8</f>
        <v>Inconnues</v>
      </c>
      <c r="D31" s="147" t="str">
        <f>Règlement!L8</f>
        <v>Connues</v>
      </c>
      <c r="E31" s="148" t="s">
        <v>9</v>
      </c>
      <c r="F31" s="78" t="s">
        <v>16</v>
      </c>
      <c r="G31" s="94" t="s">
        <v>16</v>
      </c>
      <c r="H31" s="149" t="s">
        <v>16</v>
      </c>
      <c r="I31" s="143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</row>
    <row r="32" spans="1:212" ht="27.25" customHeight="1" thickBot="1">
      <c r="A32" s="150" t="str">
        <f>Règlement!A4</f>
        <v>4 trispots 20 cm</v>
      </c>
      <c r="B32" s="151">
        <f>Règlement!B4+Règlement!C4</f>
        <v>6</v>
      </c>
      <c r="C32" s="152">
        <f>COUNTIFS($C6:$C29,A32,E6:E29,C31)</f>
        <v>0</v>
      </c>
      <c r="D32" s="153">
        <f>COUNTIFS($C6:$C29,A32,E6:E29,D31)</f>
        <v>0</v>
      </c>
      <c r="E32" s="154" t="str">
        <f>IF(C32=D32,IF(C32+D32=B32,"ok","manque"),"manque")</f>
        <v>manque</v>
      </c>
      <c r="F32" s="155" t="str">
        <f>IFERROR(AVERAGEIF(C6:C29,A32,F6:F29)," ")</f>
        <v xml:space="preserve"> </v>
      </c>
      <c r="G32" s="156" t="str">
        <f>IFERROR(AVERAGEIF(C6:C29,A32,G6:G29)," ")</f>
        <v xml:space="preserve"> </v>
      </c>
      <c r="H32" s="157" t="str">
        <f>IFERROR(AVERAGEIF(C6:C29,A32,H6:H29)," ")</f>
        <v xml:space="preserve"> </v>
      </c>
      <c r="I32" s="143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</row>
    <row r="33" spans="1:212" ht="20.75" customHeight="1" thickBot="1">
      <c r="A33" s="158" t="str">
        <f>Règlement!A5</f>
        <v>4 cibles de 40 cm</v>
      </c>
      <c r="B33" s="151">
        <f>Règlement!B5+Règlement!C5</f>
        <v>6</v>
      </c>
      <c r="C33" s="152">
        <f>COUNTIFS($C6:$C29,A33,E6:E29,C31)</f>
        <v>0</v>
      </c>
      <c r="D33" s="159">
        <f>COUNTIFS($C6:$C29,A33,E6:E29,D31)</f>
        <v>0</v>
      </c>
      <c r="E33" s="160" t="str">
        <f t="shared" ref="E33:E35" si="8">IF(C33=D33,IF(C33+D33=B33,"ok","manque"),"manque")</f>
        <v>manque</v>
      </c>
      <c r="F33" s="161" t="str">
        <f>IFERROR(AVERAGEIF($C6:$C29,A33,F6:F29)," ")</f>
        <v xml:space="preserve"> </v>
      </c>
      <c r="G33" s="162" t="str">
        <f>IFERROR(AVERAGEIF($C6:$C29,A33,G6:G29)," ")</f>
        <v xml:space="preserve"> </v>
      </c>
      <c r="H33" s="163" t="str">
        <f>IFERROR(AVERAGEIF($C6:$C29,A33,H6:H29)," ")</f>
        <v xml:space="preserve"> </v>
      </c>
      <c r="I33" s="143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</row>
    <row r="34" spans="1:212" ht="20.75" customHeight="1" thickBot="1">
      <c r="A34" s="150" t="str">
        <f>Règlement!A6</f>
        <v>1 cible de 60 cm</v>
      </c>
      <c r="B34" s="151">
        <f>Règlement!B6+Règlement!C6</f>
        <v>6</v>
      </c>
      <c r="C34" s="152">
        <f>COUNTIFS($C6:$C29,A34,E6:E29,C31)</f>
        <v>0</v>
      </c>
      <c r="D34" s="153">
        <f>COUNTIFS($C6:$C29,A34,E6:E29,D31)</f>
        <v>0</v>
      </c>
      <c r="E34" s="160" t="str">
        <f t="shared" si="8"/>
        <v>manque</v>
      </c>
      <c r="F34" s="155" t="str">
        <f>IFERROR(AVERAGEIF($C6:$C29,A34,F6:F29)," ")</f>
        <v xml:space="preserve"> </v>
      </c>
      <c r="G34" s="156" t="str">
        <f>IFERROR(AVERAGEIF($C6:$C29,A34,G6:G29)," ")</f>
        <v xml:space="preserve"> </v>
      </c>
      <c r="H34" s="157" t="str">
        <f>IFERROR(AVERAGEIF($C6:$C29,A34,H6:H29)," ")</f>
        <v xml:space="preserve"> </v>
      </c>
      <c r="I34" s="143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</row>
    <row r="35" spans="1:212" ht="20.75" customHeight="1" thickBot="1">
      <c r="A35" s="164" t="str">
        <f>Règlement!A7</f>
        <v>1 cible de 80 cm</v>
      </c>
      <c r="B35" s="151">
        <f>Règlement!B7+Règlement!C7</f>
        <v>6</v>
      </c>
      <c r="C35" s="152">
        <f>COUNTIFS($C6:$C29,A35,E6:E29,C31)</f>
        <v>0</v>
      </c>
      <c r="D35" s="165">
        <f>COUNTIFS($C6:$C29,A35,E6:E29,D31)</f>
        <v>0</v>
      </c>
      <c r="E35" s="166" t="str">
        <f t="shared" si="8"/>
        <v>manque</v>
      </c>
      <c r="F35" s="167" t="str">
        <f>IFERROR(AVERAGEIF($C6:$C29,A35,F6:F29)," ")</f>
        <v xml:space="preserve"> </v>
      </c>
      <c r="G35" s="168" t="str">
        <f>IFERROR(AVERAGEIF($C6:$C29,A35,G6:G29)," ")</f>
        <v xml:space="preserve"> </v>
      </c>
      <c r="H35" s="169" t="str">
        <f>IFERROR(AVERAGEIF($C6:$C29,A35,H6:H29)," ")</f>
        <v xml:space="preserve"> </v>
      </c>
      <c r="I35" s="143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</row>
    <row r="36" spans="1:212" ht="20.75" customHeight="1" thickBot="1">
      <c r="A36" s="170"/>
      <c r="B36" s="171">
        <f>SUM(B32:B35)</f>
        <v>24</v>
      </c>
      <c r="C36" s="171">
        <f>SUM(C32:C35)</f>
        <v>0</v>
      </c>
      <c r="D36" s="171">
        <f>SUM(D32:D35)</f>
        <v>0</v>
      </c>
      <c r="F36" s="78" t="s">
        <v>8</v>
      </c>
      <c r="G36" s="94" t="s">
        <v>8</v>
      </c>
      <c r="H36" s="149" t="s">
        <v>8</v>
      </c>
      <c r="I36" s="14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</row>
    <row r="37" spans="1:212" ht="20" customHeight="1" thickBot="1">
      <c r="C37" s="142"/>
      <c r="E37" s="148" t="s">
        <v>40</v>
      </c>
      <c r="F37" s="155">
        <f>SUM(F6:F29)</f>
        <v>0</v>
      </c>
      <c r="G37" s="156">
        <f>SUM(G6:G29)</f>
        <v>0</v>
      </c>
      <c r="H37" s="157">
        <f>SUM(H6:H29)</f>
        <v>0</v>
      </c>
      <c r="I37" s="143"/>
    </row>
    <row r="38" spans="1:212" ht="20" customHeight="1" thickBot="1">
      <c r="A38" s="172" t="s">
        <v>50</v>
      </c>
      <c r="B38" s="173" t="str">
        <f>IF(Règlement!$L$14="OUI","Active","Inactive")</f>
        <v>Active</v>
      </c>
      <c r="C38" s="142"/>
      <c r="E38" s="174" t="s">
        <v>23</v>
      </c>
      <c r="F38" s="155">
        <f>SUMIF(E6:E29, "Inconnues", F6:F29)</f>
        <v>0</v>
      </c>
      <c r="G38" s="156">
        <f>SUMIF(E6:E29, "Inconnues", G6:G29)</f>
        <v>0</v>
      </c>
      <c r="H38" s="157">
        <f>SUMIF(E6:E29, "Inconnues", H6:H29)</f>
        <v>0</v>
      </c>
      <c r="I38" s="143"/>
    </row>
    <row r="39" spans="1:212" ht="24" customHeight="1" thickBot="1">
      <c r="B39" s="193" t="s">
        <v>41</v>
      </c>
      <c r="C39" s="194"/>
      <c r="D39" s="175">
        <f>Règlement!D10</f>
        <v>300</v>
      </c>
      <c r="E39" s="176">
        <f>Règlement!E10</f>
        <v>330</v>
      </c>
      <c r="F39" s="160" t="str">
        <f>IF(AND(F38&gt;=D39,F38&lt;=E39),"ok","hors fourchette")</f>
        <v>hors fourchette</v>
      </c>
      <c r="I39" s="143"/>
    </row>
    <row r="40" spans="1:212" ht="23" customHeight="1" thickBot="1">
      <c r="B40" s="195" t="s">
        <v>42</v>
      </c>
      <c r="C40" s="196"/>
      <c r="D40" s="175">
        <f>Règlement!D11</f>
        <v>220</v>
      </c>
      <c r="E40" s="176">
        <f>Règlement!E11</f>
        <v>244</v>
      </c>
      <c r="G40" s="160" t="str">
        <f>IF(AND(G38&gt;=D40,G38&lt;=E40),"ok","hors fourchette")</f>
        <v>hors fourchette</v>
      </c>
      <c r="I40" s="143"/>
    </row>
    <row r="41" spans="1:212" ht="24" customHeight="1" thickBot="1">
      <c r="B41" s="186" t="s">
        <v>49</v>
      </c>
      <c r="C41" s="187"/>
      <c r="D41" s="175">
        <f>Règlement!D12</f>
        <v>192</v>
      </c>
      <c r="E41" s="176">
        <f>Règlement!E12</f>
        <v>212</v>
      </c>
      <c r="H41" s="160" t="str">
        <f>IF(AND(H38&gt;=D41,H38&lt;=E41),"ok","hors fourchette")</f>
        <v>hors fourchette</v>
      </c>
      <c r="I41" s="143"/>
    </row>
    <row r="42" spans="1:212" ht="20" customHeight="1">
      <c r="I42" s="143"/>
    </row>
    <row r="43" spans="1:212" ht="20" customHeight="1">
      <c r="I43" s="143"/>
    </row>
  </sheetData>
  <sheetProtection sheet="1" selectLockedCells="1"/>
  <mergeCells count="113">
    <mergeCell ref="X23:Y23"/>
    <mergeCell ref="X24:Y24"/>
    <mergeCell ref="X25:Y25"/>
    <mergeCell ref="X29:Y29"/>
    <mergeCell ref="X18:Y18"/>
    <mergeCell ref="X19:Y19"/>
    <mergeCell ref="X20:Y20"/>
    <mergeCell ref="X21:Y21"/>
    <mergeCell ref="X22:Y22"/>
    <mergeCell ref="X28:Y28"/>
    <mergeCell ref="V17:W17"/>
    <mergeCell ref="V18:W18"/>
    <mergeCell ref="X11:Y11"/>
    <mergeCell ref="X12:Y12"/>
    <mergeCell ref="X13:Y13"/>
    <mergeCell ref="X14:Y14"/>
    <mergeCell ref="X15:Y15"/>
    <mergeCell ref="X16:Y16"/>
    <mergeCell ref="X17:Y17"/>
    <mergeCell ref="A1:X1"/>
    <mergeCell ref="V6:W6"/>
    <mergeCell ref="V7:W7"/>
    <mergeCell ref="V8:W8"/>
    <mergeCell ref="V9:W9"/>
    <mergeCell ref="X7:Y7"/>
    <mergeCell ref="X8:Y8"/>
    <mergeCell ref="X9:Y9"/>
    <mergeCell ref="A2:A4"/>
    <mergeCell ref="B2:B4"/>
    <mergeCell ref="C5:D5"/>
    <mergeCell ref="C2:D4"/>
    <mergeCell ref="E2:E4"/>
    <mergeCell ref="X6:Y6"/>
    <mergeCell ref="V5:W5"/>
    <mergeCell ref="X5:Y5"/>
    <mergeCell ref="F2:I3"/>
    <mergeCell ref="V2:AA3"/>
    <mergeCell ref="R2:U3"/>
    <mergeCell ref="K2:Q2"/>
    <mergeCell ref="Z5:AA5"/>
    <mergeCell ref="Z6:AA6"/>
    <mergeCell ref="Z7:AA7"/>
    <mergeCell ref="Z8:AA8"/>
    <mergeCell ref="C6:D6"/>
    <mergeCell ref="C7:D7"/>
    <mergeCell ref="C8:D8"/>
    <mergeCell ref="C12:D12"/>
    <mergeCell ref="C9:D9"/>
    <mergeCell ref="C26:D26"/>
    <mergeCell ref="V26:W26"/>
    <mergeCell ref="X26:Y26"/>
    <mergeCell ref="C27:D27"/>
    <mergeCell ref="V27:W27"/>
    <mergeCell ref="X27:Y27"/>
    <mergeCell ref="V10:W10"/>
    <mergeCell ref="X10:Y10"/>
    <mergeCell ref="C21:D21"/>
    <mergeCell ref="V19:W19"/>
    <mergeCell ref="V20:W20"/>
    <mergeCell ref="V21:W21"/>
    <mergeCell ref="C17:D17"/>
    <mergeCell ref="C18:D18"/>
    <mergeCell ref="C19:D19"/>
    <mergeCell ref="C20:D20"/>
    <mergeCell ref="V22:W22"/>
    <mergeCell ref="V23:W23"/>
    <mergeCell ref="V24:W24"/>
    <mergeCell ref="B41:C41"/>
    <mergeCell ref="C28:D28"/>
    <mergeCell ref="V28:W28"/>
    <mergeCell ref="C29:D29"/>
    <mergeCell ref="C10:D10"/>
    <mergeCell ref="C11:D11"/>
    <mergeCell ref="C13:D13"/>
    <mergeCell ref="B39:C39"/>
    <mergeCell ref="B40:C40"/>
    <mergeCell ref="C14:D14"/>
    <mergeCell ref="C15:D15"/>
    <mergeCell ref="C22:D22"/>
    <mergeCell ref="C23:D23"/>
    <mergeCell ref="C24:D24"/>
    <mergeCell ref="C25:D25"/>
    <mergeCell ref="C16:D16"/>
    <mergeCell ref="V25:W25"/>
    <mergeCell ref="V29:W29"/>
    <mergeCell ref="V11:W11"/>
    <mergeCell ref="V12:W12"/>
    <mergeCell ref="V13:W13"/>
    <mergeCell ref="V14:W14"/>
    <mergeCell ref="V15:W15"/>
    <mergeCell ref="V16:W16"/>
    <mergeCell ref="AB2:AB3"/>
    <mergeCell ref="Z28:AA28"/>
    <mergeCell ref="Z29:AA29"/>
    <mergeCell ref="Z20:AA20"/>
    <mergeCell ref="Z21:AA21"/>
    <mergeCell ref="Z22:AA22"/>
    <mergeCell ref="Z23:AA23"/>
    <mergeCell ref="Z24:AA24"/>
    <mergeCell ref="Z19:AA19"/>
    <mergeCell ref="Z10:AA10"/>
    <mergeCell ref="Z11:AA11"/>
    <mergeCell ref="Z12:AA12"/>
    <mergeCell ref="Z13:AA13"/>
    <mergeCell ref="Z14:AA14"/>
    <mergeCell ref="Z25:AA25"/>
    <mergeCell ref="Z26:AA26"/>
    <mergeCell ref="Z27:AA27"/>
    <mergeCell ref="Z9:AA9"/>
    <mergeCell ref="Z15:AA15"/>
    <mergeCell ref="Z16:AA16"/>
    <mergeCell ref="Z17:AA17"/>
    <mergeCell ref="Z18:AA18"/>
  </mergeCells>
  <conditionalFormatting sqref="B38">
    <cfRule type="expression" dxfId="20" priority="7">
      <formula>$B$38="Inactive"</formula>
    </cfRule>
    <cfRule type="expression" dxfId="19" priority="8">
      <formula>$B$38="active"</formula>
    </cfRule>
  </conditionalFormatting>
  <conditionalFormatting sqref="I6:I29">
    <cfRule type="expression" dxfId="10" priority="5">
      <formula>LEFT(C6,1)="4"</formula>
    </cfRule>
  </conditionalFormatting>
  <conditionalFormatting sqref="R5:U29">
    <cfRule type="containsText" dxfId="9" priority="3" stopIfTrue="1" operator="containsText" text="Doublon">
      <formula>NOT(ISERROR(SEARCH("Doublon",R5)))</formula>
    </cfRule>
    <cfRule type="containsText" dxfId="8" priority="4" operator="containsText" text="FAUX">
      <formula>NOT(ISERROR(SEARCH("FAUX",R5)))</formula>
    </cfRule>
    <cfRule type="containsText" dxfId="7" priority="6" operator="containsText" text="VRAI">
      <formula>NOT(ISERROR(SEARCH("VRAI",R5)))</formula>
    </cfRule>
  </conditionalFormatting>
  <conditionalFormatting sqref="V5:V29 X5:X29">
    <cfRule type="containsText" dxfId="6" priority="43" operator="containsText" text="ok">
      <formula>NOT(ISERROR(SEARCH("ok",V5)))</formula>
    </cfRule>
  </conditionalFormatting>
  <conditionalFormatting sqref="Z5:Z29">
    <cfRule type="containsText" dxfId="4" priority="1" operator="containsText" text="ok">
      <formula>NOT(ISERROR(SEARCH("ok",Z5)))</formula>
    </cfRule>
  </conditionalFormatting>
  <conditionalFormatting sqref="AB5:AB29">
    <cfRule type="expression" dxfId="2" priority="9">
      <formula>$AB5="Obligatoire"</formula>
    </cfRule>
    <cfRule type="expression" dxfId="1" priority="10">
      <formula>$AB5="possible"</formula>
    </cfRule>
    <cfRule type="expression" dxfId="0" priority="11">
      <formula>$AB5="Manque Orange"</formula>
    </cfRule>
  </conditionalFormatting>
  <pageMargins left="1" right="1" top="1" bottom="1" header="0.25" footer="0.25"/>
  <pageSetup orientation="portrait" r:id="rId1"/>
  <headerFooter>
    <oddFooter>&amp;C&amp;"Helvetica Neue,Regular"&amp;12&amp;K000000&amp;P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stopIfTrue="1" operator="containsText" id="{646F6508-7965-3644-86BD-429290450A8C}">
            <xm:f>NOT(ISERROR(SEARCH("ok",E32)))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48" operator="notContains" id="{1CD655C6-9CEA-0149-BAC8-3BD756F84D56}">
            <xm:f>ISERROR(SEARCH("ok",E32))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E32:E35</xm:sqref>
        </x14:conditionalFormatting>
        <x14:conditionalFormatting xmlns:xm="http://schemas.microsoft.com/office/excel/2006/main">
          <x14:cfRule type="containsText" priority="26" stopIfTrue="1" operator="containsText" id="{9422666F-6425-5641-BE89-C0380D308790}">
            <xm:f>NOT(ISERROR(SEARCH("ok",F39)))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27" operator="notContains" id="{0CFF8B02-D610-FF48-92E6-07C274E8160C}">
            <xm:f>ISERROR(SEARCH("ok",F39))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ontainsText" priority="24" stopIfTrue="1" operator="containsText" id="{01B758BA-B0D5-EB49-8D6E-6C16296B380E}">
            <xm:f>NOT(ISERROR(SEARCH("ok",G40)))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25" operator="notContains" id="{3C8296A4-E59F-3B49-8920-C938B7404943}">
            <xm:f>ISERROR(SEARCH("ok",G40))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containsText" priority="22" stopIfTrue="1" operator="containsText" id="{F2D03F2C-66E1-934F-83BA-E9D1750F8931}">
            <xm:f>NOT(ISERROR(SEARCH("ok",H41)))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notContainsText" priority="23" operator="notContains" id="{4B8ADA94-2CBA-564F-880F-B80B55CCF061}">
            <xm:f>ISERROR(SEARCH("ok",H41))</xm:f>
            <xm:f>"ok"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H41</xm:sqref>
        </x14:conditionalFormatting>
        <x14:conditionalFormatting xmlns:xm="http://schemas.microsoft.com/office/excel/2006/main">
          <x14:cfRule type="containsText" priority="50" operator="containsText" id="{AE6D6811-F587-D243-9BBD-7D62BBEFF34D}">
            <xm:f>NOT(ISERROR(SEARCH("faux",V5)))</xm:f>
            <xm:f>"faux"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V5:V29 X5:X29</xm:sqref>
        </x14:conditionalFormatting>
        <x14:conditionalFormatting xmlns:xm="http://schemas.microsoft.com/office/excel/2006/main">
          <x14:cfRule type="containsText" priority="2" operator="containsText" id="{4405B574-857D-7C4E-A53C-871DC3A0D834}">
            <xm:f>NOT(ISERROR(SEARCH("faux",Z5)))</xm:f>
            <xm:f>"faux"</xm:f>
            <x14:dxf>
              <font>
                <color rgb="FF000000"/>
              </font>
              <fill>
                <patternFill patternType="solid">
                  <fgColor indexed="16"/>
                  <bgColor indexed="17"/>
                </patternFill>
              </fill>
            </x14:dxf>
          </x14:cfRule>
          <xm:sqref>Z5:Z29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Règlement!$A$4:$A$7</xm:f>
          </x14:formula1>
          <xm:sqref>C5:C6</xm:sqref>
        </x14:dataValidation>
        <x14:dataValidation type="list" showInputMessage="1" showErrorMessage="1" xr:uid="{00000000-0002-0000-0000-000001000000}">
          <x14:formula1>
            <xm:f>Règlement!$A$4:$A$7</xm:f>
          </x14:formula1>
          <xm:sqref>C7:C29</xm:sqref>
        </x14:dataValidation>
        <x14:dataValidation type="list" allowBlank="1" showInputMessage="1" showErrorMessage="1" xr:uid="{00000000-0002-0000-0000-000002000000}">
          <x14:formula1>
            <xm:f>Règlement!$B$3:$C$3</xm:f>
          </x14:formula1>
          <xm:sqref>E5:E29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4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4" sqref="B4"/>
    </sheetView>
  </sheetViews>
  <sheetFormatPr baseColWidth="10" defaultColWidth="16.33203125" defaultRowHeight="20" customHeight="1"/>
  <cols>
    <col min="1" max="1" width="16.33203125" style="1" customWidth="1"/>
    <col min="2" max="2" width="9.33203125" style="1" bestFit="1" customWidth="1"/>
    <col min="3" max="3" width="12.6640625" style="1" bestFit="1" customWidth="1"/>
    <col min="4" max="5" width="6.33203125" style="1" bestFit="1" customWidth="1"/>
    <col min="6" max="6" width="4.83203125" style="1" bestFit="1" customWidth="1"/>
    <col min="7" max="7" width="5.1640625" style="1" bestFit="1" customWidth="1"/>
    <col min="8" max="9" width="5.6640625" style="1" bestFit="1" customWidth="1"/>
    <col min="10" max="11" width="7.1640625" style="1" bestFit="1" customWidth="1"/>
    <col min="12" max="14" width="6.33203125" style="1" bestFit="1" customWidth="1"/>
    <col min="15" max="17" width="4.6640625" style="1" bestFit="1" customWidth="1"/>
    <col min="18" max="20" width="5.6640625" style="1" bestFit="1" customWidth="1"/>
    <col min="21" max="22" width="7.1640625" style="1" bestFit="1" customWidth="1"/>
    <col min="23" max="23" width="6.83203125" style="1" bestFit="1" customWidth="1"/>
    <col min="24" max="16384" width="16.33203125" style="1"/>
  </cols>
  <sheetData>
    <row r="1" spans="1:24" ht="27.75" customHeight="1" thickBot="1">
      <c r="A1" s="249" t="s">
        <v>30</v>
      </c>
      <c r="B1" s="249"/>
      <c r="C1" s="249"/>
      <c r="D1" s="249"/>
      <c r="E1" s="249"/>
      <c r="F1" s="249"/>
      <c r="G1" s="249"/>
      <c r="H1" s="249"/>
      <c r="I1" s="249"/>
      <c r="J1" s="42"/>
      <c r="K1" s="42"/>
      <c r="X1" s="1">
        <v>1</v>
      </c>
    </row>
    <row r="2" spans="1:24" ht="35" thickBot="1">
      <c r="A2" s="250" t="s">
        <v>22</v>
      </c>
      <c r="B2" s="251"/>
      <c r="C2" s="252"/>
      <c r="D2" s="57" t="s">
        <v>46</v>
      </c>
      <c r="E2" s="58" t="s">
        <v>46</v>
      </c>
      <c r="F2" s="59" t="s">
        <v>48</v>
      </c>
      <c r="G2" s="59" t="s">
        <v>48</v>
      </c>
      <c r="H2" s="60" t="s">
        <v>47</v>
      </c>
      <c r="I2" s="60" t="s">
        <v>47</v>
      </c>
      <c r="J2" s="56" t="s">
        <v>44</v>
      </c>
      <c r="K2" s="56" t="s">
        <v>44</v>
      </c>
      <c r="L2" s="57" t="s">
        <v>46</v>
      </c>
      <c r="M2" s="57" t="s">
        <v>46</v>
      </c>
      <c r="N2" s="57" t="s">
        <v>46</v>
      </c>
      <c r="O2" s="59" t="s">
        <v>48</v>
      </c>
      <c r="P2" s="59" t="s">
        <v>48</v>
      </c>
      <c r="Q2" s="59" t="s">
        <v>48</v>
      </c>
      <c r="R2" s="60" t="s">
        <v>47</v>
      </c>
      <c r="S2" s="60" t="s">
        <v>47</v>
      </c>
      <c r="T2" s="60" t="s">
        <v>47</v>
      </c>
      <c r="U2" s="50" t="s">
        <v>44</v>
      </c>
      <c r="V2" s="48" t="s">
        <v>44</v>
      </c>
      <c r="W2" s="47" t="s">
        <v>45</v>
      </c>
      <c r="X2" s="1">
        <v>2</v>
      </c>
    </row>
    <row r="3" spans="1:24" ht="15" customHeight="1" thickBot="1">
      <c r="A3" s="22" t="s">
        <v>25</v>
      </c>
      <c r="B3" s="31" t="s">
        <v>23</v>
      </c>
      <c r="C3" s="30" t="s">
        <v>24</v>
      </c>
      <c r="D3" s="21" t="s">
        <v>10</v>
      </c>
      <c r="E3" s="2" t="s">
        <v>11</v>
      </c>
      <c r="F3" s="38" t="s">
        <v>10</v>
      </c>
      <c r="G3" s="2" t="s">
        <v>11</v>
      </c>
      <c r="H3" s="2" t="s">
        <v>10</v>
      </c>
      <c r="I3" s="46" t="s">
        <v>11</v>
      </c>
      <c r="J3" s="2" t="s">
        <v>10</v>
      </c>
      <c r="K3" s="34" t="s">
        <v>11</v>
      </c>
      <c r="L3" s="17"/>
      <c r="M3" s="7"/>
      <c r="N3" s="7"/>
      <c r="O3" s="7"/>
      <c r="P3" s="7"/>
      <c r="Q3" s="7"/>
      <c r="R3" s="7"/>
      <c r="S3" s="7"/>
      <c r="T3" s="7"/>
      <c r="U3" s="7"/>
      <c r="V3" s="7"/>
      <c r="W3" s="18"/>
      <c r="X3" s="1">
        <v>3</v>
      </c>
    </row>
    <row r="4" spans="1:24" ht="14.75" customHeight="1">
      <c r="A4" s="23" t="s">
        <v>27</v>
      </c>
      <c r="B4" s="29">
        <v>3</v>
      </c>
      <c r="C4" s="29">
        <v>3</v>
      </c>
      <c r="D4" s="19">
        <v>10</v>
      </c>
      <c r="E4" s="14">
        <v>15</v>
      </c>
      <c r="F4" s="15">
        <v>5</v>
      </c>
      <c r="G4" s="15">
        <v>10</v>
      </c>
      <c r="H4" s="61">
        <v>5</v>
      </c>
      <c r="I4" s="62">
        <v>10</v>
      </c>
      <c r="J4" s="33"/>
      <c r="K4" s="35"/>
      <c r="L4" s="19">
        <v>10</v>
      </c>
      <c r="M4" s="14">
        <v>15</v>
      </c>
      <c r="N4" s="14">
        <v>20</v>
      </c>
      <c r="O4" s="15">
        <v>5</v>
      </c>
      <c r="P4" s="15">
        <v>10</v>
      </c>
      <c r="Q4" s="15">
        <v>15</v>
      </c>
      <c r="R4" s="61">
        <v>5</v>
      </c>
      <c r="S4" s="65">
        <v>10</v>
      </c>
      <c r="T4" s="61">
        <v>15</v>
      </c>
      <c r="U4" s="49">
        <v>5</v>
      </c>
      <c r="V4" s="33">
        <v>10</v>
      </c>
      <c r="W4" s="32">
        <v>15</v>
      </c>
      <c r="X4" s="67">
        <v>4</v>
      </c>
    </row>
    <row r="5" spans="1:24" ht="14.75" customHeight="1">
      <c r="A5" s="23" t="s">
        <v>26</v>
      </c>
      <c r="B5" s="24">
        <v>3</v>
      </c>
      <c r="C5" s="24">
        <v>3</v>
      </c>
      <c r="D5" s="19">
        <v>15</v>
      </c>
      <c r="E5" s="14">
        <v>25</v>
      </c>
      <c r="F5" s="15">
        <v>10</v>
      </c>
      <c r="G5" s="15">
        <v>20</v>
      </c>
      <c r="H5" s="61">
        <v>10</v>
      </c>
      <c r="I5" s="62">
        <v>15</v>
      </c>
      <c r="J5" s="33"/>
      <c r="K5" s="35"/>
      <c r="L5" s="19">
        <v>20</v>
      </c>
      <c r="M5" s="14">
        <v>25</v>
      </c>
      <c r="N5" s="14">
        <v>30</v>
      </c>
      <c r="O5" s="15">
        <v>15</v>
      </c>
      <c r="P5" s="15">
        <v>20</v>
      </c>
      <c r="Q5" s="15">
        <v>25</v>
      </c>
      <c r="R5" s="61">
        <v>10</v>
      </c>
      <c r="S5" s="65">
        <v>15</v>
      </c>
      <c r="T5" s="61">
        <v>20</v>
      </c>
      <c r="U5" s="49">
        <v>10</v>
      </c>
      <c r="V5" s="33">
        <v>15</v>
      </c>
      <c r="W5" s="32">
        <v>20</v>
      </c>
      <c r="X5" s="67">
        <v>5</v>
      </c>
    </row>
    <row r="6" spans="1:24" ht="14.75" customHeight="1">
      <c r="A6" s="23" t="s">
        <v>28</v>
      </c>
      <c r="B6" s="24">
        <v>3</v>
      </c>
      <c r="C6" s="24">
        <v>3</v>
      </c>
      <c r="D6" s="19">
        <v>20</v>
      </c>
      <c r="E6" s="14">
        <v>35</v>
      </c>
      <c r="F6" s="15">
        <v>15</v>
      </c>
      <c r="G6" s="15">
        <v>30</v>
      </c>
      <c r="H6" s="61">
        <v>15</v>
      </c>
      <c r="I6" s="62">
        <v>25</v>
      </c>
      <c r="J6" s="33">
        <v>15</v>
      </c>
      <c r="K6" s="35">
        <v>25</v>
      </c>
      <c r="L6" s="19">
        <v>35</v>
      </c>
      <c r="M6" s="14">
        <v>40</v>
      </c>
      <c r="N6" s="14">
        <v>45</v>
      </c>
      <c r="O6" s="15">
        <v>30</v>
      </c>
      <c r="P6" s="15">
        <v>35</v>
      </c>
      <c r="Q6" s="15">
        <v>40</v>
      </c>
      <c r="R6" s="61">
        <v>20</v>
      </c>
      <c r="S6" s="65">
        <v>25</v>
      </c>
      <c r="T6" s="61">
        <v>30</v>
      </c>
      <c r="U6" s="49">
        <v>20</v>
      </c>
      <c r="V6" s="33">
        <v>25</v>
      </c>
      <c r="W6" s="32">
        <v>30</v>
      </c>
      <c r="X6" s="67">
        <v>6</v>
      </c>
    </row>
    <row r="7" spans="1:24" ht="14.75" customHeight="1" thickBot="1">
      <c r="A7" s="23" t="s">
        <v>29</v>
      </c>
      <c r="B7" s="25">
        <v>3</v>
      </c>
      <c r="C7" s="25">
        <v>3</v>
      </c>
      <c r="D7" s="26">
        <v>35</v>
      </c>
      <c r="E7" s="27">
        <v>55</v>
      </c>
      <c r="F7" s="28">
        <v>30</v>
      </c>
      <c r="G7" s="28">
        <v>45</v>
      </c>
      <c r="H7" s="63">
        <v>20</v>
      </c>
      <c r="I7" s="64">
        <v>35</v>
      </c>
      <c r="J7" s="37">
        <v>20</v>
      </c>
      <c r="K7" s="36">
        <v>30</v>
      </c>
      <c r="L7" s="51">
        <v>50</v>
      </c>
      <c r="M7" s="52">
        <v>55</v>
      </c>
      <c r="N7" s="52">
        <v>60</v>
      </c>
      <c r="O7" s="53">
        <v>40</v>
      </c>
      <c r="P7" s="53">
        <v>45</v>
      </c>
      <c r="Q7" s="53">
        <v>50</v>
      </c>
      <c r="R7" s="63">
        <v>30</v>
      </c>
      <c r="S7" s="66">
        <v>35</v>
      </c>
      <c r="T7" s="63">
        <v>40</v>
      </c>
      <c r="U7" s="54">
        <v>30</v>
      </c>
      <c r="V7" s="37">
        <v>30</v>
      </c>
      <c r="W7" s="55">
        <v>30</v>
      </c>
      <c r="X7" s="67">
        <v>7</v>
      </c>
    </row>
    <row r="8" spans="1:24" ht="14.75" customHeight="1" thickBot="1">
      <c r="D8" s="253" t="s">
        <v>23</v>
      </c>
      <c r="E8" s="254"/>
      <c r="F8" s="254"/>
      <c r="G8" s="254"/>
      <c r="H8" s="254"/>
      <c r="I8" s="254"/>
      <c r="J8" s="254"/>
      <c r="K8" s="255"/>
      <c r="L8" s="239" t="s">
        <v>24</v>
      </c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1"/>
    </row>
    <row r="9" spans="1:24" customFormat="1" ht="14.75" customHeight="1">
      <c r="A9">
        <v>1</v>
      </c>
      <c r="B9">
        <f>A9+1</f>
        <v>2</v>
      </c>
      <c r="C9">
        <f t="shared" ref="C9:W9" si="0">B9+1</f>
        <v>3</v>
      </c>
      <c r="D9">
        <f t="shared" si="0"/>
        <v>4</v>
      </c>
      <c r="E9">
        <f t="shared" si="0"/>
        <v>5</v>
      </c>
      <c r="F9">
        <f t="shared" si="0"/>
        <v>6</v>
      </c>
      <c r="G9">
        <f t="shared" si="0"/>
        <v>7</v>
      </c>
      <c r="H9">
        <f t="shared" si="0"/>
        <v>8</v>
      </c>
      <c r="I9">
        <f t="shared" si="0"/>
        <v>9</v>
      </c>
      <c r="J9">
        <f t="shared" si="0"/>
        <v>10</v>
      </c>
      <c r="K9">
        <f t="shared" si="0"/>
        <v>11</v>
      </c>
      <c r="L9">
        <f t="shared" si="0"/>
        <v>12</v>
      </c>
      <c r="M9">
        <f t="shared" si="0"/>
        <v>13</v>
      </c>
      <c r="N9">
        <f t="shared" si="0"/>
        <v>14</v>
      </c>
      <c r="O9">
        <f t="shared" si="0"/>
        <v>15</v>
      </c>
      <c r="P9">
        <f t="shared" si="0"/>
        <v>16</v>
      </c>
      <c r="Q9">
        <f t="shared" si="0"/>
        <v>17</v>
      </c>
      <c r="R9">
        <f t="shared" si="0"/>
        <v>18</v>
      </c>
      <c r="S9">
        <f t="shared" si="0"/>
        <v>19</v>
      </c>
      <c r="T9">
        <f t="shared" si="0"/>
        <v>20</v>
      </c>
      <c r="U9">
        <f t="shared" si="0"/>
        <v>21</v>
      </c>
      <c r="V9">
        <f t="shared" si="0"/>
        <v>22</v>
      </c>
      <c r="W9">
        <f t="shared" si="0"/>
        <v>23</v>
      </c>
    </row>
    <row r="10" spans="1:24" ht="14.75" customHeight="1">
      <c r="A10" s="5" t="s">
        <v>34</v>
      </c>
      <c r="B10" s="4">
        <f>SUM(B4:C7)</f>
        <v>24</v>
      </c>
      <c r="C10" s="5" t="s">
        <v>12</v>
      </c>
      <c r="D10" s="20">
        <v>300</v>
      </c>
      <c r="E10" s="20">
        <v>330</v>
      </c>
      <c r="G10" s="7"/>
      <c r="H10" s="7"/>
      <c r="I10" s="7"/>
      <c r="J10" s="7"/>
      <c r="K10" s="7"/>
    </row>
    <row r="11" spans="1:24" ht="13.5" customHeight="1">
      <c r="C11" s="3" t="s">
        <v>13</v>
      </c>
      <c r="D11" s="8">
        <v>220</v>
      </c>
      <c r="E11" s="8">
        <v>244</v>
      </c>
      <c r="H11" s="242" t="s">
        <v>37</v>
      </c>
      <c r="I11" s="242"/>
      <c r="J11" s="242"/>
      <c r="K11" s="242"/>
      <c r="L11" s="16">
        <v>0.25</v>
      </c>
    </row>
    <row r="12" spans="1:24" ht="14.75" customHeight="1" thickBot="1">
      <c r="A12" s="74" t="s">
        <v>33</v>
      </c>
      <c r="D12" s="6">
        <v>192</v>
      </c>
      <c r="E12" s="6">
        <v>212</v>
      </c>
      <c r="H12" s="243" t="s">
        <v>38</v>
      </c>
      <c r="I12" s="243"/>
      <c r="J12" s="243"/>
      <c r="K12" s="243"/>
      <c r="L12" s="16">
        <v>1</v>
      </c>
    </row>
    <row r="13" spans="1:24" ht="17" thickBot="1">
      <c r="A13" s="74" t="s">
        <v>51</v>
      </c>
      <c r="E13" s="7"/>
      <c r="F13" s="7"/>
      <c r="G13" s="7"/>
      <c r="H13" s="244" t="s">
        <v>36</v>
      </c>
      <c r="I13" s="245"/>
      <c r="J13" s="245"/>
      <c r="K13" s="245"/>
      <c r="L13" s="40">
        <v>2</v>
      </c>
      <c r="M13" s="41" t="s">
        <v>39</v>
      </c>
    </row>
    <row r="14" spans="1:24" ht="32" customHeight="1" thickBot="1">
      <c r="E14" s="246" t="s">
        <v>35</v>
      </c>
      <c r="F14" s="247"/>
      <c r="G14" s="247"/>
      <c r="H14" s="247"/>
      <c r="I14" s="247"/>
      <c r="J14" s="247"/>
      <c r="K14" s="248"/>
      <c r="L14" s="39" t="s">
        <v>33</v>
      </c>
    </row>
  </sheetData>
  <sheetProtection sheet="1" objects="1" scenarios="1"/>
  <mergeCells count="8">
    <mergeCell ref="A1:I1"/>
    <mergeCell ref="A2:C2"/>
    <mergeCell ref="D8:K8"/>
    <mergeCell ref="L8:W8"/>
    <mergeCell ref="H11:K11"/>
    <mergeCell ref="H12:K12"/>
    <mergeCell ref="H13:K13"/>
    <mergeCell ref="E14:K14"/>
  </mergeCells>
  <dataValidations disablePrompts="1" count="1">
    <dataValidation type="list" allowBlank="1" showInputMessage="1" showErrorMessage="1" sqref="L14" xr:uid="{2BF4AF5A-0F3F-9F44-8EA2-B49623398D46}">
      <formula1>$A$12:$A$13</formula1>
    </dataValidation>
  </dataValidation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Projet - Campagne</vt:lpstr>
      <vt:lpstr>Règlement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MAUFFREY</dc:creator>
  <cp:lastModifiedBy>Frédéric Desplats</cp:lastModifiedBy>
  <dcterms:created xsi:type="dcterms:W3CDTF">2024-10-12T19:59:35Z</dcterms:created>
  <dcterms:modified xsi:type="dcterms:W3CDTF">2025-06-22T11:44:40Z</dcterms:modified>
</cp:coreProperties>
</file>