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/>
  <mc:AlternateContent xmlns:mc="http://schemas.openxmlformats.org/markup-compatibility/2006">
    <mc:Choice Requires="x15">
      <x15ac:absPath xmlns:x15ac="http://schemas.microsoft.com/office/spreadsheetml/2010/11/ac" url="/Users/derf/Desktop/Archery sound/"/>
    </mc:Choice>
  </mc:AlternateContent>
  <xr:revisionPtr revIDLastSave="0" documentId="13_ncr:1_{EAE47D2D-6F82-D645-A28B-1FE593BCC0BA}" xr6:coauthVersionLast="47" xr6:coauthVersionMax="47" xr10:uidLastSave="{00000000-0000-0000-0000-000000000000}"/>
  <bookViews>
    <workbookView xWindow="180" yWindow="680" windowWidth="34200" windowHeight="21460" activeTab="1" xr2:uid="{00000000-000D-0000-FFFF-FFFF00000000}"/>
  </bookViews>
  <sheets>
    <sheet name="Organisateur" sheetId="3" r:id="rId1"/>
    <sheet name="Arbitre" sheetId="1" r:id="rId2"/>
    <sheet name="Valeurs Règlement Campagne" sheetId="2" r:id="rId3"/>
  </sheets>
  <definedNames>
    <definedName name="_xlnm.Print_Area" localSheetId="1">Arbitre!$A$1:$AB$42</definedName>
    <definedName name="_xlnm.Print_Area" localSheetId="0">Organisateur!$A$1:$AB$42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1" l="1"/>
  <c r="G14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A1" i="1"/>
  <c r="E7" i="1"/>
  <c r="F7" i="1"/>
  <c r="G7" i="1"/>
  <c r="H7" i="1"/>
  <c r="I7" i="1"/>
  <c r="R6" i="1" a="1"/>
  <c r="R6" i="1" s="1"/>
  <c r="S6" i="1" a="1"/>
  <c r="S6" i="1" s="1"/>
  <c r="T6" i="1" a="1"/>
  <c r="T6" i="1" s="1"/>
  <c r="U6" i="1"/>
  <c r="R8" i="1" a="1"/>
  <c r="R8" i="1" s="1"/>
  <c r="S8" i="1" a="1"/>
  <c r="S8" i="1" s="1"/>
  <c r="T8" i="1" a="1"/>
  <c r="T8" i="1" s="1"/>
  <c r="U8" i="1"/>
  <c r="R9" i="1" a="1"/>
  <c r="R9" i="1" s="1"/>
  <c r="S9" i="1" a="1"/>
  <c r="S9" i="1" s="1"/>
  <c r="T9" i="1" a="1"/>
  <c r="T9" i="1" s="1"/>
  <c r="U9" i="1"/>
  <c r="R10" i="1" a="1"/>
  <c r="R10" i="1" s="1"/>
  <c r="S10" i="1" a="1"/>
  <c r="S10" i="1" s="1"/>
  <c r="T10" i="1" a="1"/>
  <c r="T10" i="1" s="1"/>
  <c r="U10" i="1"/>
  <c r="R11" i="1" a="1"/>
  <c r="R11" i="1" s="1"/>
  <c r="S11" i="1" a="1"/>
  <c r="S11" i="1" s="1"/>
  <c r="T11" i="1" a="1"/>
  <c r="T11" i="1" s="1"/>
  <c r="U11" i="1"/>
  <c r="R12" i="1" a="1"/>
  <c r="R12" i="1" s="1"/>
  <c r="S12" i="1" a="1"/>
  <c r="S12" i="1" s="1"/>
  <c r="T12" i="1" a="1"/>
  <c r="T12" i="1" s="1"/>
  <c r="U12" i="1"/>
  <c r="R13" i="1" a="1"/>
  <c r="R13" i="1" s="1"/>
  <c r="S13" i="1" a="1"/>
  <c r="S13" i="1" s="1"/>
  <c r="T13" i="1" a="1"/>
  <c r="T13" i="1" s="1"/>
  <c r="U13" i="1"/>
  <c r="R14" i="1" a="1"/>
  <c r="R14" i="1" s="1"/>
  <c r="S14" i="1" a="1"/>
  <c r="S14" i="1" s="1"/>
  <c r="T14" i="1" a="1"/>
  <c r="T14" i="1" s="1"/>
  <c r="U14" i="1"/>
  <c r="R15" i="1" a="1"/>
  <c r="R15" i="1" s="1"/>
  <c r="S15" i="1" a="1"/>
  <c r="S15" i="1" s="1"/>
  <c r="I29" i="1"/>
  <c r="I20" i="1"/>
  <c r="I10" i="1"/>
  <c r="H8" i="1"/>
  <c r="G9" i="1"/>
  <c r="F18" i="1"/>
  <c r="G15" i="1"/>
  <c r="G12" i="1"/>
  <c r="G21" i="1"/>
  <c r="F8" i="1"/>
  <c r="F6" i="1"/>
  <c r="C6" i="1"/>
  <c r="G6" i="1"/>
  <c r="F5" i="1"/>
  <c r="G5" i="1"/>
  <c r="H5" i="1"/>
  <c r="E6" i="1"/>
  <c r="M6" i="1" s="1"/>
  <c r="H6" i="1"/>
  <c r="I6" i="1"/>
  <c r="AB5" i="1"/>
  <c r="U5" i="1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9" i="3"/>
  <c r="AB8" i="3"/>
  <c r="AB7" i="3"/>
  <c r="AB6" i="3"/>
  <c r="AB5" i="3"/>
  <c r="AB10" i="3"/>
  <c r="E5" i="1"/>
  <c r="C5" i="1"/>
  <c r="B5" i="1"/>
  <c r="B6" i="1"/>
  <c r="H29" i="1"/>
  <c r="G29" i="1"/>
  <c r="F29" i="1"/>
  <c r="E29" i="1"/>
  <c r="B29" i="1"/>
  <c r="I28" i="1"/>
  <c r="H28" i="1"/>
  <c r="G28" i="1"/>
  <c r="F28" i="1"/>
  <c r="E28" i="1"/>
  <c r="B28" i="1"/>
  <c r="I27" i="1"/>
  <c r="H27" i="1"/>
  <c r="G27" i="1"/>
  <c r="F27" i="1"/>
  <c r="E27" i="1"/>
  <c r="B27" i="1"/>
  <c r="I26" i="1"/>
  <c r="H26" i="1"/>
  <c r="G26" i="1"/>
  <c r="F26" i="1"/>
  <c r="E26" i="1"/>
  <c r="AD26" i="1" s="1"/>
  <c r="B26" i="1"/>
  <c r="I25" i="1"/>
  <c r="H25" i="1"/>
  <c r="G25" i="1"/>
  <c r="F25" i="1"/>
  <c r="E25" i="1"/>
  <c r="P25" i="1" s="1"/>
  <c r="B25" i="1"/>
  <c r="I24" i="1"/>
  <c r="H24" i="1"/>
  <c r="G24" i="1"/>
  <c r="F24" i="1"/>
  <c r="E24" i="1"/>
  <c r="AD24" i="1" s="1"/>
  <c r="B24" i="1"/>
  <c r="I23" i="1"/>
  <c r="H23" i="1"/>
  <c r="G23" i="1"/>
  <c r="F23" i="1"/>
  <c r="E23" i="1"/>
  <c r="B23" i="1"/>
  <c r="I22" i="1"/>
  <c r="H22" i="1"/>
  <c r="G22" i="1"/>
  <c r="F22" i="1"/>
  <c r="E22" i="1"/>
  <c r="O22" i="1" s="1"/>
  <c r="B22" i="1"/>
  <c r="I21" i="1"/>
  <c r="H21" i="1"/>
  <c r="F21" i="1"/>
  <c r="E21" i="1"/>
  <c r="B21" i="1"/>
  <c r="H20" i="1"/>
  <c r="G20" i="1"/>
  <c r="F20" i="1"/>
  <c r="E20" i="1"/>
  <c r="AC20" i="1" s="1"/>
  <c r="B20" i="1"/>
  <c r="I19" i="1"/>
  <c r="H19" i="1"/>
  <c r="G19" i="1"/>
  <c r="F19" i="1"/>
  <c r="E19" i="1"/>
  <c r="B19" i="1"/>
  <c r="I18" i="1"/>
  <c r="H18" i="1"/>
  <c r="G18" i="1"/>
  <c r="E18" i="1"/>
  <c r="B18" i="1"/>
  <c r="I17" i="1"/>
  <c r="H17" i="1"/>
  <c r="G17" i="1"/>
  <c r="F17" i="1"/>
  <c r="E17" i="1"/>
  <c r="AE17" i="1" s="1"/>
  <c r="B17" i="1"/>
  <c r="H16" i="1"/>
  <c r="G16" i="1"/>
  <c r="F16" i="1"/>
  <c r="E16" i="1"/>
  <c r="B16" i="1"/>
  <c r="I15" i="1"/>
  <c r="H15" i="1"/>
  <c r="F15" i="1"/>
  <c r="E15" i="1"/>
  <c r="B15" i="1"/>
  <c r="I14" i="1"/>
  <c r="H14" i="1"/>
  <c r="F14" i="1"/>
  <c r="E14" i="1"/>
  <c r="AD14" i="1" s="1"/>
  <c r="B14" i="1"/>
  <c r="I13" i="1"/>
  <c r="H13" i="1"/>
  <c r="G13" i="1"/>
  <c r="F13" i="1"/>
  <c r="E13" i="1"/>
  <c r="B13" i="1"/>
  <c r="I12" i="1"/>
  <c r="H12" i="1"/>
  <c r="F12" i="1"/>
  <c r="E12" i="1"/>
  <c r="B12" i="1"/>
  <c r="I11" i="1"/>
  <c r="H11" i="1"/>
  <c r="G11" i="1"/>
  <c r="F11" i="1"/>
  <c r="E11" i="1"/>
  <c r="B11" i="1"/>
  <c r="H10" i="1"/>
  <c r="G10" i="1"/>
  <c r="F10" i="1"/>
  <c r="E10" i="1"/>
  <c r="B10" i="1"/>
  <c r="I9" i="1"/>
  <c r="H9" i="1"/>
  <c r="F9" i="1"/>
  <c r="E9" i="1"/>
  <c r="AC9" i="1" s="1"/>
  <c r="B9" i="1"/>
  <c r="I8" i="1"/>
  <c r="G8" i="1"/>
  <c r="E8" i="1"/>
  <c r="B8" i="1"/>
  <c r="AD7" i="1"/>
  <c r="B7" i="1"/>
  <c r="E41" i="3"/>
  <c r="D41" i="3"/>
  <c r="E40" i="3"/>
  <c r="D40" i="3"/>
  <c r="E39" i="3"/>
  <c r="D39" i="3"/>
  <c r="H38" i="3"/>
  <c r="H41" i="3" s="1"/>
  <c r="G38" i="3"/>
  <c r="F38" i="3"/>
  <c r="F39" i="3" s="1"/>
  <c r="B38" i="3"/>
  <c r="H37" i="3"/>
  <c r="G37" i="3"/>
  <c r="F37" i="3"/>
  <c r="H35" i="3"/>
  <c r="G35" i="3"/>
  <c r="D35" i="3"/>
  <c r="B35" i="3"/>
  <c r="A35" i="3"/>
  <c r="C35" i="3" s="1"/>
  <c r="H34" i="3"/>
  <c r="G34" i="3"/>
  <c r="D34" i="3"/>
  <c r="B34" i="3"/>
  <c r="A34" i="3"/>
  <c r="C34" i="3" s="1"/>
  <c r="H33" i="3"/>
  <c r="G33" i="3"/>
  <c r="D33" i="3"/>
  <c r="B33" i="3"/>
  <c r="A33" i="3"/>
  <c r="C33" i="3" s="1"/>
  <c r="H32" i="3"/>
  <c r="G32" i="3"/>
  <c r="D32" i="3"/>
  <c r="B32" i="3"/>
  <c r="B36" i="3" s="1"/>
  <c r="A32" i="3"/>
  <c r="C32" i="3" s="1"/>
  <c r="D31" i="3"/>
  <c r="L5" i="3" s="1"/>
  <c r="C31" i="3"/>
  <c r="AE29" i="3"/>
  <c r="AD29" i="3"/>
  <c r="AC29" i="3"/>
  <c r="P29" i="3"/>
  <c r="Q29" i="3" s="1"/>
  <c r="O29" i="3"/>
  <c r="U29" i="3" s="1"/>
  <c r="N29" i="3"/>
  <c r="M29" i="3"/>
  <c r="L29" i="3"/>
  <c r="K29" i="3"/>
  <c r="AE28" i="3"/>
  <c r="AD28" i="3"/>
  <c r="AC28" i="3"/>
  <c r="P28" i="3"/>
  <c r="Q28" i="3" s="1"/>
  <c r="O28" i="3"/>
  <c r="U28" i="3" s="1"/>
  <c r="N28" i="3"/>
  <c r="M28" i="3"/>
  <c r="L28" i="3"/>
  <c r="K28" i="3"/>
  <c r="AE27" i="3"/>
  <c r="AD27" i="3"/>
  <c r="AC27" i="3"/>
  <c r="U27" i="3"/>
  <c r="P27" i="3"/>
  <c r="Q27" i="3" s="1"/>
  <c r="O27" i="3"/>
  <c r="N27" i="3"/>
  <c r="M27" i="3"/>
  <c r="L27" i="3"/>
  <c r="K27" i="3"/>
  <c r="AE26" i="3"/>
  <c r="AD26" i="3"/>
  <c r="AC26" i="3"/>
  <c r="U26" i="3"/>
  <c r="P26" i="3"/>
  <c r="Q26" i="3" s="1"/>
  <c r="O26" i="3"/>
  <c r="N26" i="3"/>
  <c r="M26" i="3"/>
  <c r="L26" i="3"/>
  <c r="K26" i="3"/>
  <c r="AE25" i="3"/>
  <c r="AD25" i="3"/>
  <c r="AC25" i="3"/>
  <c r="U25" i="3"/>
  <c r="P25" i="3"/>
  <c r="Q25" i="3" s="1"/>
  <c r="O25" i="3"/>
  <c r="N25" i="3"/>
  <c r="M25" i="3"/>
  <c r="L25" i="3"/>
  <c r="K25" i="3"/>
  <c r="AE24" i="3"/>
  <c r="AD24" i="3"/>
  <c r="AC24" i="3"/>
  <c r="P24" i="3"/>
  <c r="Q24" i="3" s="1"/>
  <c r="O24" i="3"/>
  <c r="U24" i="3" s="1"/>
  <c r="N24" i="3"/>
  <c r="M24" i="3"/>
  <c r="L24" i="3"/>
  <c r="K24" i="3"/>
  <c r="AE23" i="3"/>
  <c r="AD23" i="3"/>
  <c r="AC23" i="3"/>
  <c r="U23" i="3"/>
  <c r="P23" i="3"/>
  <c r="Q23" i="3" s="1"/>
  <c r="O23" i="3"/>
  <c r="N23" i="3"/>
  <c r="M23" i="3"/>
  <c r="L23" i="3"/>
  <c r="K23" i="3"/>
  <c r="AE22" i="3"/>
  <c r="AD22" i="3"/>
  <c r="AC22" i="3"/>
  <c r="U22" i="3"/>
  <c r="P22" i="3"/>
  <c r="Q22" i="3" s="1"/>
  <c r="O22" i="3"/>
  <c r="N22" i="3"/>
  <c r="M22" i="3"/>
  <c r="L22" i="3"/>
  <c r="K22" i="3"/>
  <c r="AE21" i="3"/>
  <c r="AD21" i="3"/>
  <c r="AC21" i="3"/>
  <c r="U21" i="3"/>
  <c r="P21" i="3"/>
  <c r="Q21" i="3" s="1"/>
  <c r="O21" i="3"/>
  <c r="N21" i="3"/>
  <c r="M21" i="3"/>
  <c r="L21" i="3"/>
  <c r="K21" i="3"/>
  <c r="AE20" i="3"/>
  <c r="AD20" i="3"/>
  <c r="AC20" i="3"/>
  <c r="U20" i="3"/>
  <c r="P20" i="3"/>
  <c r="Q20" i="3" s="1"/>
  <c r="O20" i="3"/>
  <c r="N20" i="3"/>
  <c r="M20" i="3"/>
  <c r="L20" i="3"/>
  <c r="K20" i="3"/>
  <c r="AE19" i="3"/>
  <c r="AD19" i="3"/>
  <c r="AC19" i="3"/>
  <c r="P19" i="3"/>
  <c r="Q19" i="3" s="1"/>
  <c r="U19" i="3" s="1"/>
  <c r="O19" i="3"/>
  <c r="N19" i="3"/>
  <c r="M19" i="3"/>
  <c r="L19" i="3"/>
  <c r="K19" i="3"/>
  <c r="AE18" i="3"/>
  <c r="AD18" i="3"/>
  <c r="AC18" i="3"/>
  <c r="P18" i="3"/>
  <c r="Q18" i="3" s="1"/>
  <c r="O18" i="3"/>
  <c r="U18" i="3" s="1"/>
  <c r="N18" i="3"/>
  <c r="M18" i="3"/>
  <c r="L18" i="3"/>
  <c r="K18" i="3"/>
  <c r="AE17" i="3"/>
  <c r="AD17" i="3"/>
  <c r="AC17" i="3"/>
  <c r="P17" i="3"/>
  <c r="Q17" i="3" s="1"/>
  <c r="O17" i="3"/>
  <c r="N17" i="3"/>
  <c r="M17" i="3"/>
  <c r="L17" i="3"/>
  <c r="K17" i="3"/>
  <c r="AE16" i="3"/>
  <c r="AD16" i="3"/>
  <c r="AC16" i="3"/>
  <c r="P16" i="3"/>
  <c r="Q16" i="3" s="1"/>
  <c r="O16" i="3"/>
  <c r="U16" i="3" s="1"/>
  <c r="N16" i="3"/>
  <c r="M16" i="3"/>
  <c r="L16" i="3"/>
  <c r="K16" i="3"/>
  <c r="AE15" i="3"/>
  <c r="AD15" i="3"/>
  <c r="AC15" i="3"/>
  <c r="P15" i="3"/>
  <c r="Q15" i="3" s="1"/>
  <c r="O15" i="3"/>
  <c r="U15" i="3" s="1"/>
  <c r="N15" i="3"/>
  <c r="M15" i="3"/>
  <c r="L15" i="3"/>
  <c r="K15" i="3"/>
  <c r="AE14" i="3"/>
  <c r="AD14" i="3"/>
  <c r="AC14" i="3"/>
  <c r="U14" i="3"/>
  <c r="P14" i="3"/>
  <c r="Q14" i="3" s="1"/>
  <c r="O14" i="3"/>
  <c r="N14" i="3"/>
  <c r="M14" i="3"/>
  <c r="L14" i="3"/>
  <c r="K14" i="3"/>
  <c r="AE13" i="3"/>
  <c r="AD13" i="3"/>
  <c r="AC13" i="3"/>
  <c r="P13" i="3"/>
  <c r="Q13" i="3" s="1"/>
  <c r="O13" i="3"/>
  <c r="N13" i="3"/>
  <c r="M13" i="3"/>
  <c r="L13" i="3"/>
  <c r="K13" i="3"/>
  <c r="AE12" i="3"/>
  <c r="AD12" i="3"/>
  <c r="AC12" i="3"/>
  <c r="U12" i="3"/>
  <c r="P12" i="3"/>
  <c r="Q12" i="3" s="1"/>
  <c r="O12" i="3"/>
  <c r="N12" i="3"/>
  <c r="M12" i="3"/>
  <c r="L12" i="3"/>
  <c r="K12" i="3"/>
  <c r="AE11" i="3"/>
  <c r="AD11" i="3"/>
  <c r="AC11" i="3"/>
  <c r="P11" i="3"/>
  <c r="Q11" i="3" s="1"/>
  <c r="O11" i="3"/>
  <c r="U11" i="3" s="1"/>
  <c r="N11" i="3"/>
  <c r="M11" i="3"/>
  <c r="L11" i="3"/>
  <c r="K11" i="3"/>
  <c r="AE10" i="3"/>
  <c r="AD10" i="3"/>
  <c r="AC10" i="3"/>
  <c r="P10" i="3"/>
  <c r="Q10" i="3" s="1"/>
  <c r="O10" i="3"/>
  <c r="U10" i="3" s="1"/>
  <c r="N10" i="3"/>
  <c r="M10" i="3"/>
  <c r="L10" i="3"/>
  <c r="K10" i="3"/>
  <c r="AE9" i="3"/>
  <c r="AD9" i="3"/>
  <c r="AC9" i="3"/>
  <c r="U9" i="3"/>
  <c r="P9" i="3"/>
  <c r="Q9" i="3" s="1"/>
  <c r="O9" i="3"/>
  <c r="N9" i="3"/>
  <c r="M9" i="3"/>
  <c r="L9" i="3"/>
  <c r="K9" i="3"/>
  <c r="AE8" i="3"/>
  <c r="AD8" i="3"/>
  <c r="AC8" i="3"/>
  <c r="U8" i="3"/>
  <c r="P8" i="3"/>
  <c r="Q8" i="3" s="1"/>
  <c r="O8" i="3"/>
  <c r="N8" i="3"/>
  <c r="M8" i="3"/>
  <c r="L8" i="3"/>
  <c r="K8" i="3"/>
  <c r="AE7" i="3"/>
  <c r="AD7" i="3"/>
  <c r="AC7" i="3"/>
  <c r="P7" i="3"/>
  <c r="Q7" i="3" s="1"/>
  <c r="O7" i="3"/>
  <c r="U7" i="3" s="1"/>
  <c r="N7" i="3"/>
  <c r="M7" i="3"/>
  <c r="L7" i="3"/>
  <c r="K7" i="3"/>
  <c r="AE6" i="3"/>
  <c r="AD6" i="3"/>
  <c r="AC6" i="3"/>
  <c r="U6" i="3"/>
  <c r="P6" i="3"/>
  <c r="Q6" i="3" s="1"/>
  <c r="O6" i="3"/>
  <c r="N6" i="3"/>
  <c r="M6" i="3"/>
  <c r="L6" i="3"/>
  <c r="K6" i="3"/>
  <c r="AE5" i="3"/>
  <c r="AD5" i="3"/>
  <c r="AC5" i="3"/>
  <c r="U5" i="3"/>
  <c r="P5" i="3"/>
  <c r="Q5" i="3" s="1"/>
  <c r="N5" i="3"/>
  <c r="M5" i="3"/>
  <c r="AD5" i="1"/>
  <c r="B38" i="1"/>
  <c r="C9" i="2"/>
  <c r="D9" i="2" s="1"/>
  <c r="E9" i="2" s="1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V9" i="2" s="1"/>
  <c r="W9" i="2" s="1"/>
  <c r="B9" i="2"/>
  <c r="D31" i="1"/>
  <c r="C31" i="1"/>
  <c r="B33" i="1"/>
  <c r="B34" i="1"/>
  <c r="B35" i="1"/>
  <c r="B32" i="1"/>
  <c r="B10" i="2"/>
  <c r="T15" i="1" l="1" a="1"/>
  <c r="T15" i="1" s="1"/>
  <c r="U15" i="1"/>
  <c r="R16" i="1" a="1"/>
  <c r="R16" i="1" s="1"/>
  <c r="S16" i="1" a="1"/>
  <c r="S16" i="1" s="1"/>
  <c r="T16" i="1" a="1"/>
  <c r="T16" i="1" s="1"/>
  <c r="U16" i="1"/>
  <c r="R17" i="1" a="1"/>
  <c r="R17" i="1" s="1"/>
  <c r="S17" i="1" a="1"/>
  <c r="S17" i="1" s="1"/>
  <c r="T17" i="1" a="1"/>
  <c r="T17" i="1" s="1"/>
  <c r="U17" i="1"/>
  <c r="U18" i="1"/>
  <c r="S18" i="1" a="1"/>
  <c r="S18" i="1" s="1"/>
  <c r="T18" i="1" a="1"/>
  <c r="T18" i="1" s="1"/>
  <c r="R18" i="1" a="1"/>
  <c r="R18" i="1" s="1"/>
  <c r="R19" i="1" a="1"/>
  <c r="R19" i="1" s="1"/>
  <c r="S19" i="1" a="1"/>
  <c r="S19" i="1" s="1"/>
  <c r="T19" i="1" a="1"/>
  <c r="T19" i="1" s="1"/>
  <c r="U19" i="1"/>
  <c r="R20" i="1" a="1"/>
  <c r="R20" i="1" s="1"/>
  <c r="S20" i="1" a="1"/>
  <c r="S20" i="1" s="1"/>
  <c r="T20" i="1" a="1"/>
  <c r="T20" i="1" s="1"/>
  <c r="U20" i="1"/>
  <c r="R21" i="1" a="1"/>
  <c r="R21" i="1" s="1"/>
  <c r="S21" i="1" a="1"/>
  <c r="S21" i="1" s="1"/>
  <c r="T21" i="1" a="1"/>
  <c r="T21" i="1" s="1"/>
  <c r="U21" i="1"/>
  <c r="U22" i="1"/>
  <c r="S22" i="1" a="1"/>
  <c r="S22" i="1" s="1"/>
  <c r="T22" i="1" a="1"/>
  <c r="T22" i="1" s="1"/>
  <c r="R22" i="1" a="1"/>
  <c r="R22" i="1" s="1"/>
  <c r="R23" i="1" a="1"/>
  <c r="R23" i="1" s="1"/>
  <c r="S23" i="1" a="1"/>
  <c r="S23" i="1" s="1"/>
  <c r="T23" i="1" a="1"/>
  <c r="T23" i="1" s="1"/>
  <c r="U23" i="1"/>
  <c r="R24" i="1" a="1"/>
  <c r="R24" i="1" s="1"/>
  <c r="S24" i="1" a="1"/>
  <c r="S24" i="1" s="1"/>
  <c r="T24" i="1" a="1"/>
  <c r="T24" i="1" s="1"/>
  <c r="U24" i="1"/>
  <c r="R25" i="1" a="1"/>
  <c r="R25" i="1" s="1"/>
  <c r="S25" i="1" a="1"/>
  <c r="S25" i="1" s="1"/>
  <c r="T25" i="1" a="1"/>
  <c r="T25" i="1" s="1"/>
  <c r="U25" i="1"/>
  <c r="R26" i="1" a="1"/>
  <c r="R26" i="1" s="1"/>
  <c r="S26" i="1" a="1"/>
  <c r="S26" i="1" s="1"/>
  <c r="T26" i="1" a="1"/>
  <c r="T26" i="1" s="1"/>
  <c r="U26" i="1"/>
  <c r="R27" i="1" a="1"/>
  <c r="R27" i="1" s="1"/>
  <c r="S27" i="1" a="1"/>
  <c r="S27" i="1" s="1"/>
  <c r="T27" i="1" a="1"/>
  <c r="T27" i="1" s="1"/>
  <c r="U27" i="1"/>
  <c r="R28" i="1" a="1"/>
  <c r="R28" i="1" s="1"/>
  <c r="S28" i="1" a="1"/>
  <c r="S28" i="1" s="1"/>
  <c r="T28" i="1" a="1"/>
  <c r="T28" i="1" s="1"/>
  <c r="U28" i="1"/>
  <c r="R29" i="1" a="1"/>
  <c r="R29" i="1" s="1"/>
  <c r="S29" i="1" a="1"/>
  <c r="S29" i="1" s="1"/>
  <c r="T29" i="1" a="1"/>
  <c r="T29" i="1" s="1"/>
  <c r="U29" i="1"/>
  <c r="N21" i="1"/>
  <c r="AE22" i="1"/>
  <c r="K8" i="1"/>
  <c r="P16" i="1"/>
  <c r="L24" i="1"/>
  <c r="AC14" i="1"/>
  <c r="K13" i="1"/>
  <c r="N29" i="1"/>
  <c r="AB14" i="1"/>
  <c r="Q16" i="1"/>
  <c r="AE13" i="1"/>
  <c r="AC29" i="1"/>
  <c r="U13" i="3"/>
  <c r="T15" i="3" a="1"/>
  <c r="T15" i="3" s="1"/>
  <c r="Z15" i="3" s="1"/>
  <c r="R14" i="3" a="1"/>
  <c r="R14" i="3" s="1"/>
  <c r="P11" i="1"/>
  <c r="O27" i="1"/>
  <c r="AE25" i="1"/>
  <c r="R18" i="3" a="1"/>
  <c r="R18" i="3" s="1"/>
  <c r="U17" i="3"/>
  <c r="S10" i="3" a="1"/>
  <c r="S10" i="3" s="1"/>
  <c r="R16" i="3" a="1"/>
  <c r="R16" i="3" s="1"/>
  <c r="E34" i="3"/>
  <c r="T21" i="3" a="1"/>
  <c r="T21" i="3" s="1"/>
  <c r="Z21" i="3" s="1"/>
  <c r="S24" i="3" a="1"/>
  <c r="S24" i="3" s="1"/>
  <c r="R25" i="3" a="1"/>
  <c r="R25" i="3" s="1"/>
  <c r="R28" i="3" a="1"/>
  <c r="R28" i="3" s="1"/>
  <c r="R11" i="3" a="1"/>
  <c r="R11" i="3" s="1"/>
  <c r="T16" i="3" a="1"/>
  <c r="T16" i="3" s="1"/>
  <c r="Z16" i="3" s="1"/>
  <c r="T22" i="3" a="1"/>
  <c r="T22" i="3" s="1"/>
  <c r="Z22" i="3" s="1"/>
  <c r="R17" i="3" a="1"/>
  <c r="R17" i="3" s="1"/>
  <c r="R12" i="3" a="1"/>
  <c r="R12" i="3" s="1"/>
  <c r="T17" i="3" a="1"/>
  <c r="T17" i="3" s="1"/>
  <c r="Z17" i="3" s="1"/>
  <c r="S20" i="3" a="1"/>
  <c r="S20" i="3" s="1"/>
  <c r="T25" i="3" a="1"/>
  <c r="T25" i="3" s="1"/>
  <c r="Z25" i="3" s="1"/>
  <c r="K14" i="1"/>
  <c r="M15" i="1"/>
  <c r="P23" i="1"/>
  <c r="T27" i="3" a="1"/>
  <c r="T27" i="3" s="1"/>
  <c r="R6" i="3" a="1"/>
  <c r="R6" i="3" s="1"/>
  <c r="S25" i="3" a="1"/>
  <c r="S25" i="3" s="1"/>
  <c r="T24" i="3" a="1"/>
  <c r="T24" i="3" s="1"/>
  <c r="Z24" i="3" s="1"/>
  <c r="S11" i="3" a="1"/>
  <c r="S11" i="3" s="1"/>
  <c r="T9" i="3" a="1"/>
  <c r="T9" i="3" s="1"/>
  <c r="Z9" i="3" s="1"/>
  <c r="S12" i="3" a="1"/>
  <c r="S12" i="3" s="1"/>
  <c r="R29" i="3" a="1"/>
  <c r="R29" i="3" s="1"/>
  <c r="R20" i="3" a="1"/>
  <c r="R20" i="3" s="1"/>
  <c r="T7" i="3" a="1"/>
  <c r="T7" i="3" s="1"/>
  <c r="Z7" i="3" s="1"/>
  <c r="T12" i="3" a="1"/>
  <c r="T12" i="3" s="1"/>
  <c r="Z12" i="3" s="1"/>
  <c r="R15" i="3" a="1"/>
  <c r="R15" i="3" s="1"/>
  <c r="R21" i="3" a="1"/>
  <c r="R21" i="3" s="1"/>
  <c r="S29" i="3" a="1"/>
  <c r="S29" i="3" s="1"/>
  <c r="P22" i="1"/>
  <c r="P14" i="1"/>
  <c r="Q14" i="1" s="1"/>
  <c r="M22" i="1"/>
  <c r="T13" i="3" a="1"/>
  <c r="T13" i="3" s="1"/>
  <c r="S16" i="3" a="1"/>
  <c r="S16" i="3" s="1"/>
  <c r="S28" i="3" a="1"/>
  <c r="S28" i="3" s="1"/>
  <c r="S17" i="3" a="1"/>
  <c r="S17" i="3" s="1"/>
  <c r="T6" i="3" a="1"/>
  <c r="T6" i="3" s="1"/>
  <c r="Z6" i="3" s="1"/>
  <c r="S13" i="3" a="1"/>
  <c r="S13" i="3" s="1"/>
  <c r="T18" i="3" a="1"/>
  <c r="T18" i="3" s="1"/>
  <c r="Z18" i="3" s="1"/>
  <c r="S21" i="3" a="1"/>
  <c r="S21" i="3" s="1"/>
  <c r="R24" i="3" a="1"/>
  <c r="R24" i="3" s="1"/>
  <c r="T26" i="3" a="1"/>
  <c r="T26" i="3" s="1"/>
  <c r="Z26" i="3" s="1"/>
  <c r="T29" i="3" a="1"/>
  <c r="T29" i="3" s="1"/>
  <c r="Z29" i="3" s="1"/>
  <c r="AC15" i="1"/>
  <c r="AD20" i="1"/>
  <c r="L17" i="1"/>
  <c r="AE18" i="1"/>
  <c r="AC25" i="1"/>
  <c r="L13" i="1"/>
  <c r="N27" i="1"/>
  <c r="N25" i="1"/>
  <c r="AE21" i="1"/>
  <c r="K18" i="1"/>
  <c r="L14" i="1"/>
  <c r="R9" i="3" a="1"/>
  <c r="R9" i="3" s="1"/>
  <c r="S14" i="3" a="1"/>
  <c r="S14" i="3" s="1"/>
  <c r="S6" i="3" a="1"/>
  <c r="S6" i="3" s="1"/>
  <c r="R10" i="3" a="1"/>
  <c r="R10" i="3" s="1"/>
  <c r="T11" i="3" a="1"/>
  <c r="T11" i="3" s="1"/>
  <c r="S15" i="3" a="1"/>
  <c r="S15" i="3" s="1"/>
  <c r="R19" i="3" a="1"/>
  <c r="R19" i="3" s="1"/>
  <c r="T20" i="3" a="1"/>
  <c r="T20" i="3" s="1"/>
  <c r="R23" i="3" a="1"/>
  <c r="R23" i="3" s="1"/>
  <c r="R27" i="3" a="1"/>
  <c r="R27" i="3" s="1"/>
  <c r="M25" i="1"/>
  <c r="P17" i="1"/>
  <c r="Q17" i="1" s="1"/>
  <c r="T19" i="3" a="1"/>
  <c r="T19" i="3" s="1"/>
  <c r="Z19" i="3" s="1"/>
  <c r="T23" i="3" a="1"/>
  <c r="T23" i="3" s="1"/>
  <c r="Z23" i="3" s="1"/>
  <c r="S27" i="3" a="1"/>
  <c r="S27" i="3" s="1"/>
  <c r="R8" i="3" a="1"/>
  <c r="R8" i="3" s="1"/>
  <c r="S26" i="3" a="1"/>
  <c r="S26" i="3" s="1"/>
  <c r="M29" i="1"/>
  <c r="H37" i="1"/>
  <c r="AB19" i="1"/>
  <c r="S19" i="3" a="1"/>
  <c r="S19" i="3" s="1"/>
  <c r="T28" i="3" a="1"/>
  <c r="T28" i="3" s="1"/>
  <c r="T10" i="3" a="1"/>
  <c r="T10" i="3" s="1"/>
  <c r="Z10" i="3" s="1"/>
  <c r="S18" i="3" a="1"/>
  <c r="S18" i="3" s="1"/>
  <c r="R13" i="3" a="1"/>
  <c r="R13" i="3" s="1"/>
  <c r="S8" i="3" a="1"/>
  <c r="S8" i="3" s="1"/>
  <c r="AD29" i="1"/>
  <c r="R7" i="3" a="1"/>
  <c r="R7" i="3" s="1"/>
  <c r="T8" i="3" a="1"/>
  <c r="T8" i="3" s="1"/>
  <c r="Z8" i="3" s="1"/>
  <c r="O29" i="1"/>
  <c r="O10" i="1"/>
  <c r="L27" i="1"/>
  <c r="S23" i="3" a="1"/>
  <c r="S23" i="3" s="1"/>
  <c r="R22" i="3" a="1"/>
  <c r="R22" i="3" s="1"/>
  <c r="R26" i="3" a="1"/>
  <c r="R26" i="3" s="1"/>
  <c r="S9" i="3" a="1"/>
  <c r="S9" i="3" s="1"/>
  <c r="T14" i="3" a="1"/>
  <c r="T14" i="3" s="1"/>
  <c r="Z14" i="3" s="1"/>
  <c r="S22" i="3" a="1"/>
  <c r="S22" i="3" s="1"/>
  <c r="S7" i="3" a="1"/>
  <c r="S7" i="3" s="1"/>
  <c r="O18" i="1"/>
  <c r="O9" i="1"/>
  <c r="L26" i="1"/>
  <c r="L8" i="1"/>
  <c r="AE15" i="1"/>
  <c r="N24" i="1"/>
  <c r="AD15" i="1"/>
  <c r="AD6" i="1"/>
  <c r="S7" i="1" s="1" a="1"/>
  <c r="S7" i="1" s="1"/>
  <c r="O24" i="1"/>
  <c r="AE29" i="1"/>
  <c r="P24" i="1"/>
  <c r="Q24" i="1" s="1"/>
  <c r="L12" i="1"/>
  <c r="M8" i="1"/>
  <c r="L15" i="1"/>
  <c r="AD19" i="1"/>
  <c r="Z27" i="3"/>
  <c r="N8" i="1"/>
  <c r="N23" i="1"/>
  <c r="O25" i="1"/>
  <c r="L29" i="1"/>
  <c r="O8" i="1"/>
  <c r="E33" i="3"/>
  <c r="M24" i="1"/>
  <c r="K15" i="1"/>
  <c r="D36" i="3"/>
  <c r="G37" i="1"/>
  <c r="O20" i="1"/>
  <c r="P6" i="1"/>
  <c r="Q6" i="1" s="1"/>
  <c r="P27" i="1"/>
  <c r="Q27" i="1" s="1"/>
  <c r="AC7" i="1"/>
  <c r="AE6" i="1"/>
  <c r="K7" i="1"/>
  <c r="P8" i="1"/>
  <c r="Q8" i="1" s="1"/>
  <c r="AB13" i="1"/>
  <c r="AB15" i="1"/>
  <c r="K20" i="1"/>
  <c r="O23" i="1"/>
  <c r="L28" i="1"/>
  <c r="P15" i="1"/>
  <c r="Q15" i="1" s="1"/>
  <c r="L25" i="1"/>
  <c r="O6" i="1"/>
  <c r="P20" i="1"/>
  <c r="Q20" i="1" s="1"/>
  <c r="L7" i="1"/>
  <c r="K11" i="1"/>
  <c r="K16" i="1"/>
  <c r="O19" i="1"/>
  <c r="AC27" i="1"/>
  <c r="AD16" i="1"/>
  <c r="AE26" i="1"/>
  <c r="AE9" i="1"/>
  <c r="G40" i="3"/>
  <c r="K6" i="1"/>
  <c r="M7" i="1"/>
  <c r="AB7" i="1"/>
  <c r="L11" i="1"/>
  <c r="L16" i="1"/>
  <c r="AB20" i="1"/>
  <c r="N26" i="1"/>
  <c r="O28" i="1"/>
  <c r="AB8" i="1"/>
  <c r="N6" i="1"/>
  <c r="P7" i="1"/>
  <c r="Q7" i="1" s="1"/>
  <c r="AE7" i="1"/>
  <c r="T7" i="1" s="1" a="1"/>
  <c r="T7" i="1" s="1"/>
  <c r="S5" i="3" a="1"/>
  <c r="S5" i="3" s="1"/>
  <c r="N28" i="1"/>
  <c r="AC6" i="1"/>
  <c r="E35" i="3"/>
  <c r="L6" i="1"/>
  <c r="N7" i="1"/>
  <c r="K9" i="1"/>
  <c r="AB11" i="1"/>
  <c r="O21" i="1"/>
  <c r="O26" i="1"/>
  <c r="K29" i="1"/>
  <c r="P13" i="1"/>
  <c r="Q13" i="1" s="1"/>
  <c r="L23" i="1"/>
  <c r="AB29" i="1"/>
  <c r="AB6" i="1"/>
  <c r="AC16" i="1"/>
  <c r="O7" i="1"/>
  <c r="P21" i="1"/>
  <c r="Q21" i="1" s="1"/>
  <c r="P26" i="1"/>
  <c r="Q26" i="1" s="1"/>
  <c r="P12" i="1"/>
  <c r="Q12" i="1" s="1"/>
  <c r="AB28" i="1"/>
  <c r="AB18" i="1"/>
  <c r="Q11" i="1"/>
  <c r="AE5" i="1"/>
  <c r="K5" i="1"/>
  <c r="AC5" i="1"/>
  <c r="P29" i="1"/>
  <c r="Q29" i="1" s="1"/>
  <c r="AC28" i="1"/>
  <c r="M28" i="1"/>
  <c r="P28" i="1"/>
  <c r="Q28" i="1" s="1"/>
  <c r="AE28" i="1"/>
  <c r="AD28" i="1"/>
  <c r="K28" i="1"/>
  <c r="M27" i="1"/>
  <c r="K27" i="1"/>
  <c r="AB27" i="1"/>
  <c r="AD27" i="1"/>
  <c r="AE27" i="1"/>
  <c r="M26" i="1"/>
  <c r="AC26" i="1"/>
  <c r="AB26" i="1"/>
  <c r="K26" i="1"/>
  <c r="Q25" i="1"/>
  <c r="AB25" i="1"/>
  <c r="K25" i="1"/>
  <c r="AD25" i="1"/>
  <c r="AC24" i="1"/>
  <c r="AB24" i="1"/>
  <c r="AE24" i="1"/>
  <c r="K24" i="1"/>
  <c r="M23" i="1"/>
  <c r="AC23" i="1"/>
  <c r="AD23" i="1"/>
  <c r="AB23" i="1"/>
  <c r="Q23" i="1"/>
  <c r="K23" i="1"/>
  <c r="AE23" i="1"/>
  <c r="N22" i="1"/>
  <c r="Q22" i="1"/>
  <c r="K22" i="1"/>
  <c r="AB22" i="1"/>
  <c r="AC22" i="1"/>
  <c r="AD22" i="1"/>
  <c r="L22" i="1"/>
  <c r="L21" i="1"/>
  <c r="AB21" i="1"/>
  <c r="M21" i="1"/>
  <c r="K21" i="1"/>
  <c r="AC21" i="1"/>
  <c r="AD21" i="1"/>
  <c r="L20" i="1"/>
  <c r="M20" i="1"/>
  <c r="AE20" i="1"/>
  <c r="N20" i="1"/>
  <c r="AE19" i="1"/>
  <c r="AC19" i="1"/>
  <c r="P19" i="1"/>
  <c r="Q19" i="1" s="1"/>
  <c r="L19" i="1"/>
  <c r="M19" i="1"/>
  <c r="K19" i="1"/>
  <c r="N19" i="1"/>
  <c r="AC18" i="1"/>
  <c r="P18" i="1"/>
  <c r="Q18" i="1" s="1"/>
  <c r="M18" i="1"/>
  <c r="N18" i="1"/>
  <c r="AD18" i="1"/>
  <c r="L18" i="1"/>
  <c r="K17" i="1"/>
  <c r="AB17" i="1"/>
  <c r="O17" i="1"/>
  <c r="M17" i="1"/>
  <c r="AD17" i="1"/>
  <c r="N17" i="1"/>
  <c r="AC17" i="1"/>
  <c r="AB16" i="1"/>
  <c r="M16" i="1"/>
  <c r="N16" i="1"/>
  <c r="AE16" i="1"/>
  <c r="O16" i="1"/>
  <c r="N15" i="1"/>
  <c r="O15" i="1"/>
  <c r="M14" i="1"/>
  <c r="N14" i="1"/>
  <c r="O14" i="1"/>
  <c r="AE14" i="1"/>
  <c r="AD13" i="1"/>
  <c r="AC13" i="1"/>
  <c r="N13" i="1"/>
  <c r="M13" i="1"/>
  <c r="O13" i="1"/>
  <c r="AB12" i="1"/>
  <c r="K12" i="1"/>
  <c r="M12" i="1"/>
  <c r="AC12" i="1"/>
  <c r="AD12" i="1"/>
  <c r="AE12" i="1"/>
  <c r="N12" i="1"/>
  <c r="O12" i="1"/>
  <c r="AE11" i="1"/>
  <c r="M11" i="1"/>
  <c r="N11" i="1"/>
  <c r="AC11" i="1"/>
  <c r="O11" i="1"/>
  <c r="AD11" i="1"/>
  <c r="AE10" i="1"/>
  <c r="AB10" i="1"/>
  <c r="L10" i="1"/>
  <c r="M10" i="1"/>
  <c r="AD10" i="1"/>
  <c r="P10" i="1"/>
  <c r="Q10" i="1" s="1"/>
  <c r="F38" i="1"/>
  <c r="K10" i="1"/>
  <c r="AC10" i="1"/>
  <c r="N10" i="1"/>
  <c r="P9" i="1"/>
  <c r="Q9" i="1" s="1"/>
  <c r="M9" i="1"/>
  <c r="AB9" i="1"/>
  <c r="N9" i="1"/>
  <c r="L9" i="1"/>
  <c r="AD9" i="1"/>
  <c r="G38" i="1"/>
  <c r="F37" i="1"/>
  <c r="AE8" i="1"/>
  <c r="AD8" i="1"/>
  <c r="AC8" i="1"/>
  <c r="H38" i="1"/>
  <c r="T5" i="3" a="1"/>
  <c r="T5" i="3" s="1"/>
  <c r="Z5" i="3" s="1"/>
  <c r="R5" i="3" a="1"/>
  <c r="R5" i="3" s="1"/>
  <c r="C36" i="3"/>
  <c r="E32" i="3"/>
  <c r="O5" i="3"/>
  <c r="F32" i="3"/>
  <c r="F33" i="3"/>
  <c r="F34" i="3"/>
  <c r="F35" i="3"/>
  <c r="K5" i="3"/>
  <c r="N5" i="1"/>
  <c r="M5" i="1"/>
  <c r="P5" i="1"/>
  <c r="Q5" i="1" s="1"/>
  <c r="L5" i="1"/>
  <c r="O5" i="1"/>
  <c r="E41" i="1"/>
  <c r="D41" i="1"/>
  <c r="E40" i="1"/>
  <c r="D40" i="1"/>
  <c r="A33" i="1"/>
  <c r="A34" i="1"/>
  <c r="A35" i="1"/>
  <c r="A32" i="1"/>
  <c r="E39" i="1"/>
  <c r="D39" i="1"/>
  <c r="X25" i="3" l="1"/>
  <c r="V16" i="3"/>
  <c r="V28" i="3"/>
  <c r="X21" i="3"/>
  <c r="V10" i="3"/>
  <c r="V21" i="3"/>
  <c r="X27" i="3"/>
  <c r="X7" i="3"/>
  <c r="R7" i="1" a="1"/>
  <c r="R7" i="1" s="1"/>
  <c r="U7" i="1"/>
  <c r="V14" i="3"/>
  <c r="V24" i="3"/>
  <c r="Z6" i="1"/>
  <c r="V6" i="1"/>
  <c r="X17" i="3"/>
  <c r="X15" i="3"/>
  <c r="X9" i="3"/>
  <c r="Z13" i="3"/>
  <c r="X12" i="3"/>
  <c r="X26" i="3"/>
  <c r="X19" i="3"/>
  <c r="V15" i="3"/>
  <c r="X6" i="3"/>
  <c r="V17" i="3"/>
  <c r="R5" i="1" a="1"/>
  <c r="R5" i="1" s="1"/>
  <c r="X11" i="3"/>
  <c r="X13" i="3"/>
  <c r="X16" i="3"/>
  <c r="S5" i="1" a="1"/>
  <c r="S5" i="1" s="1"/>
  <c r="V11" i="3"/>
  <c r="V27" i="3"/>
  <c r="T5" i="1" a="1"/>
  <c r="T5" i="1" s="1"/>
  <c r="Z5" i="1" s="1"/>
  <c r="X23" i="3"/>
  <c r="V20" i="3"/>
  <c r="V25" i="3"/>
  <c r="V12" i="3"/>
  <c r="V6" i="3"/>
  <c r="V29" i="3"/>
  <c r="X29" i="3"/>
  <c r="X24" i="3"/>
  <c r="X8" i="3"/>
  <c r="Z11" i="3"/>
  <c r="X20" i="3"/>
  <c r="X22" i="3"/>
  <c r="Z12" i="1"/>
  <c r="V22" i="3"/>
  <c r="V13" i="3"/>
  <c r="X18" i="3"/>
  <c r="X28" i="3"/>
  <c r="X14" i="3"/>
  <c r="Z20" i="3"/>
  <c r="X10" i="3"/>
  <c r="Z28" i="3"/>
  <c r="V9" i="3"/>
  <c r="V26" i="3"/>
  <c r="V18" i="3"/>
  <c r="V19" i="3"/>
  <c r="V8" i="3"/>
  <c r="Z8" i="1"/>
  <c r="V23" i="3"/>
  <c r="V7" i="3"/>
  <c r="Z9" i="1"/>
  <c r="Z22" i="1"/>
  <c r="V5" i="3"/>
  <c r="Z25" i="1"/>
  <c r="Z23" i="1"/>
  <c r="Z20" i="1"/>
  <c r="Z28" i="1"/>
  <c r="F39" i="1"/>
  <c r="Z27" i="1"/>
  <c r="Z16" i="1"/>
  <c r="Z13" i="1"/>
  <c r="G40" i="1"/>
  <c r="Z26" i="1"/>
  <c r="Z21" i="1"/>
  <c r="Z14" i="1"/>
  <c r="H41" i="1"/>
  <c r="X5" i="3"/>
  <c r="H35" i="1"/>
  <c r="F35" i="1"/>
  <c r="G35" i="1"/>
  <c r="H34" i="1"/>
  <c r="F34" i="1"/>
  <c r="G34" i="1"/>
  <c r="F33" i="1"/>
  <c r="H33" i="1"/>
  <c r="G33" i="1"/>
  <c r="F32" i="1"/>
  <c r="H32" i="1"/>
  <c r="G32" i="1"/>
  <c r="D33" i="1"/>
  <c r="C33" i="1"/>
  <c r="D32" i="1"/>
  <c r="C32" i="1"/>
  <c r="D35" i="1"/>
  <c r="C35" i="1"/>
  <c r="C34" i="1"/>
  <c r="D34" i="1"/>
  <c r="B36" i="1"/>
  <c r="Z15" i="1" l="1"/>
  <c r="X6" i="1"/>
  <c r="Z19" i="1"/>
  <c r="Z29" i="1"/>
  <c r="Z10" i="1"/>
  <c r="X5" i="1"/>
  <c r="V5" i="1"/>
  <c r="Z24" i="1"/>
  <c r="Z18" i="1"/>
  <c r="X10" i="1"/>
  <c r="Z17" i="1"/>
  <c r="V9" i="1"/>
  <c r="Z7" i="1"/>
  <c r="Z11" i="1"/>
  <c r="X8" i="1"/>
  <c r="V8" i="1"/>
  <c r="V7" i="1"/>
  <c r="X7" i="1"/>
  <c r="X9" i="1"/>
  <c r="X28" i="1"/>
  <c r="X13" i="1"/>
  <c r="X20" i="1"/>
  <c r="X15" i="1"/>
  <c r="X29" i="1"/>
  <c r="X14" i="1"/>
  <c r="X26" i="1"/>
  <c r="X21" i="1"/>
  <c r="V21" i="1"/>
  <c r="X27" i="1"/>
  <c r="V27" i="1"/>
  <c r="V14" i="1"/>
  <c r="V24" i="1"/>
  <c r="X24" i="1"/>
  <c r="V29" i="1"/>
  <c r="V26" i="1"/>
  <c r="X17" i="1"/>
  <c r="V17" i="1"/>
  <c r="X18" i="1"/>
  <c r="V18" i="1"/>
  <c r="V28" i="1"/>
  <c r="X25" i="1"/>
  <c r="V25" i="1"/>
  <c r="V20" i="1"/>
  <c r="V23" i="1"/>
  <c r="X23" i="1"/>
  <c r="X12" i="1"/>
  <c r="V12" i="1"/>
  <c r="V15" i="1"/>
  <c r="V10" i="1"/>
  <c r="X11" i="1"/>
  <c r="V11" i="1"/>
  <c r="X19" i="1"/>
  <c r="V19" i="1"/>
  <c r="X22" i="1"/>
  <c r="V22" i="1"/>
  <c r="V16" i="1"/>
  <c r="X16" i="1"/>
  <c r="V13" i="1"/>
  <c r="E32" i="1"/>
  <c r="E33" i="1"/>
  <c r="E35" i="1"/>
  <c r="D36" i="1"/>
  <c r="E34" i="1"/>
  <c r="C3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<sst xmlns="http://schemas.openxmlformats.org/spreadsheetml/2006/main" count="162" uniqueCount="55">
  <si>
    <t>Lieu - date - numéro projet</t>
  </si>
  <si>
    <t>Rouge</t>
  </si>
  <si>
    <t>Bleu</t>
  </si>
  <si>
    <t>Blanc</t>
  </si>
  <si>
    <t>Num Cible</t>
  </si>
  <si>
    <t>mini</t>
  </si>
  <si>
    <t>maxi</t>
  </si>
  <si>
    <t>Près du greffe</t>
  </si>
  <si>
    <t>Total</t>
  </si>
  <si>
    <t>Contrôle Nb</t>
  </si>
  <si>
    <t>Mini</t>
  </si>
  <si>
    <t>Maxi</t>
  </si>
  <si>
    <t>Total distance</t>
  </si>
  <si>
    <t>officiel</t>
  </si>
  <si>
    <t>Saisie Distances parcours</t>
  </si>
  <si>
    <t>Nb réglementaire répartition par type</t>
  </si>
  <si>
    <t>Moyenne</t>
  </si>
  <si>
    <t>Choix du
type de cible
(liste)</t>
  </si>
  <si>
    <t>Saisie libre des informations
de Localisation</t>
  </si>
  <si>
    <r>
      <t xml:space="preserve">Contrôle Distances
</t>
    </r>
    <r>
      <rPr>
        <b/>
        <sz val="10"/>
        <color rgb="FF0F1BFF"/>
        <rFont val="Calibri"/>
        <family val="2"/>
      </rPr>
      <t>inter-piquets</t>
    </r>
  </si>
  <si>
    <r>
      <t xml:space="preserve">Contrôle saisies
</t>
    </r>
    <r>
      <rPr>
        <b/>
        <sz val="10"/>
        <color rgb="FF0F1BFF"/>
        <rFont val="Calibri"/>
        <family val="2"/>
      </rPr>
      <t>distances des piquets</t>
    </r>
  </si>
  <si>
    <t>Exemple</t>
  </si>
  <si>
    <t>Campagne - 24 cibles</t>
  </si>
  <si>
    <t>Inconnues</t>
  </si>
  <si>
    <t>Connues</t>
  </si>
  <si>
    <t>Cibles</t>
  </si>
  <si>
    <t>4 cibles de 40 cm</t>
  </si>
  <si>
    <t>4 trispots 20 cm</t>
  </si>
  <si>
    <t>1 cible de 60 cm</t>
  </si>
  <si>
    <t>1 cible de 80 cm</t>
  </si>
  <si>
    <t>Tableau Règles Campagne</t>
  </si>
  <si>
    <t>Distance connue ou inconnue ?</t>
  </si>
  <si>
    <r>
      <t xml:space="preserve">Rappel </t>
    </r>
    <r>
      <rPr>
        <b/>
        <sz val="10"/>
        <color rgb="FF0F1BFF"/>
        <rFont val="Calibri"/>
        <family val="2"/>
      </rPr>
      <t>distances</t>
    </r>
    <r>
      <rPr>
        <sz val="10"/>
        <color indexed="9"/>
        <rFont val="Calibri"/>
        <family val="2"/>
      </rPr>
      <t xml:space="preserve">
de la  sélection</t>
    </r>
  </si>
  <si>
    <t>OUI</t>
  </si>
  <si>
    <t>Total cibles</t>
  </si>
  <si>
    <t>Utiliser la tolérance 2m pour les connues ? OUI ou NON -&gt;</t>
  </si>
  <si>
    <t>Tolérance Connues</t>
  </si>
  <si>
    <t>INFO : Tolérance ≤15m</t>
  </si>
  <si>
    <t>INFO : Tolérance &gt;15m</t>
  </si>
  <si>
    <t>mètres</t>
  </si>
  <si>
    <t>∑</t>
  </si>
  <si>
    <t>Fourchette réglementaire inconnues piquet Rouge</t>
  </si>
  <si>
    <t>Fourchette réglementaire inconnues piquet Bleu</t>
  </si>
  <si>
    <t>Orange</t>
  </si>
  <si>
    <t>Pas
Orange</t>
  </si>
  <si>
    <t>Pas
orange</t>
  </si>
  <si>
    <t>Pas
Rouge</t>
  </si>
  <si>
    <t>Pas
Blanc</t>
  </si>
  <si>
    <t>Pas
bleu</t>
  </si>
  <si>
    <t>Fourchette réglementaire inconnues piquet Blanc</t>
  </si>
  <si>
    <t xml:space="preserve">Tolérance 2m : </t>
  </si>
  <si>
    <t>NON</t>
  </si>
  <si>
    <t>Contrôle
U13</t>
  </si>
  <si>
    <t>ORGANISATEUR</t>
  </si>
  <si>
    <t>ARBITRE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</si>
</sst>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0"/>
      <color indexed="8"/>
      <name val="Helvetica Neue"/>
    </font>
    <font>
      <sz val="12"/>
      <color indexed="8"/>
      <name val="Helvetica Neue"/>
      <family val="2"/>
    </font>
    <font>
      <sz val="10"/>
      <color indexed="9"/>
      <name val="Calibri"/>
      <family val="2"/>
    </font>
    <font>
      <b/>
      <sz val="10"/>
      <color indexed="13"/>
      <name val="Calibri"/>
      <family val="2"/>
    </font>
    <font>
      <b/>
      <sz val="10"/>
      <color indexed="9"/>
      <name val="Calibri"/>
      <family val="2"/>
    </font>
    <font>
      <sz val="10"/>
      <color indexed="13"/>
      <name val="Calibri"/>
      <family val="2"/>
    </font>
    <font>
      <sz val="10"/>
      <color indexed="8"/>
      <name val="Calibri"/>
      <family val="2"/>
    </font>
    <font>
      <b/>
      <sz val="10"/>
      <color indexed="13"/>
      <name val="Helvetica Neue"/>
      <family val="2"/>
    </font>
    <font>
      <sz val="8"/>
      <color indexed="8"/>
      <name val="Calibri"/>
      <family val="2"/>
    </font>
    <font>
      <sz val="9"/>
      <color indexed="9"/>
      <name val="Geneva"/>
      <family val="2"/>
    </font>
    <font>
      <sz val="12"/>
      <color indexed="9"/>
      <name val="Calibri"/>
      <family val="2"/>
    </font>
    <font>
      <sz val="12"/>
      <color indexed="8"/>
      <name val="Calibri"/>
      <family val="2"/>
    </font>
    <font>
      <sz val="9"/>
      <color indexed="8"/>
      <name val="Geneva"/>
      <family val="2"/>
    </font>
    <font>
      <sz val="10"/>
      <color indexed="8"/>
      <name val="Calibri"/>
      <family val="2"/>
    </font>
    <font>
      <b/>
      <sz val="10"/>
      <color theme="0"/>
      <name val="Calibri"/>
      <family val="2"/>
    </font>
    <font>
      <b/>
      <sz val="10"/>
      <color rgb="FFC00000"/>
      <name val="Helvetica Neue"/>
      <family val="2"/>
    </font>
    <font>
      <b/>
      <sz val="10"/>
      <color theme="1"/>
      <name val="Helvetica Neue"/>
      <family val="2"/>
    </font>
    <font>
      <b/>
      <sz val="10"/>
      <color theme="1"/>
      <name val="Calibri"/>
      <family val="2"/>
    </font>
    <font>
      <sz val="10"/>
      <color indexed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0"/>
      <name val="Helvetica Neue"/>
      <family val="2"/>
    </font>
    <font>
      <b/>
      <sz val="9"/>
      <color indexed="8"/>
      <name val="Calibri"/>
      <family val="2"/>
    </font>
    <font>
      <b/>
      <sz val="10"/>
      <color rgb="FF0F1BFF"/>
      <name val="Calibri"/>
      <family val="2"/>
    </font>
    <font>
      <i/>
      <sz val="10"/>
      <color theme="0"/>
      <name val="Helv"/>
    </font>
    <font>
      <b/>
      <sz val="9"/>
      <color rgb="FFFF0000"/>
      <name val="Geneva"/>
      <family val="2"/>
    </font>
    <font>
      <b/>
      <sz val="12"/>
      <color indexed="8"/>
      <name val="Helvetica Neue"/>
      <family val="2"/>
    </font>
    <font>
      <b/>
      <sz val="10"/>
      <color indexed="8"/>
      <name val="Calibri"/>
      <family val="2"/>
    </font>
    <font>
      <b/>
      <sz val="10"/>
      <color indexed="8"/>
      <name val="Helvetica Neue"/>
      <family val="2"/>
    </font>
    <font>
      <sz val="10"/>
      <color indexed="8"/>
      <name val="Helvetica Neue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8"/>
      <color theme="1"/>
      <name val="Calibri"/>
      <family val="2"/>
    </font>
    <font>
      <sz val="10"/>
      <color theme="0"/>
      <name val="Helvetica Neue"/>
      <family val="2"/>
    </font>
    <font>
      <b/>
      <sz val="10"/>
      <color rgb="FF945200"/>
      <name val="Helvetica Neue"/>
      <family val="2"/>
      <scheme val="minor"/>
    </font>
    <font>
      <sz val="28"/>
      <color indexed="8"/>
      <name val="Helvetica Neue"/>
      <family val="2"/>
    </font>
    <font>
      <b/>
      <sz val="10"/>
      <color rgb="FF0432FF"/>
      <name val="Helvetica Neue"/>
      <family val="2"/>
    </font>
    <font>
      <b/>
      <sz val="10"/>
      <color rgb="FF945200"/>
      <name val="Helvetica Neue"/>
      <family val="2"/>
    </font>
  </fonts>
  <fills count="22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8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DFDB"/>
        <bgColor indexed="64"/>
      </patternFill>
    </fill>
    <fill>
      <patternFill patternType="solid">
        <fgColor rgb="FFCBECFE"/>
        <bgColor indexed="64"/>
      </patternFill>
    </fill>
    <fill>
      <patternFill patternType="solid">
        <fgColor rgb="FFF2F2F2"/>
        <bgColor indexed="64"/>
      </patternFill>
    </fill>
  </fills>
  <borders count="115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5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/>
      <top/>
      <bottom/>
      <diagonal/>
    </border>
    <border>
      <left style="thin">
        <color indexed="11"/>
      </left>
      <right style="thin">
        <color indexed="15"/>
      </right>
      <top style="thin">
        <color indexed="11"/>
      </top>
      <bottom style="thin">
        <color indexed="11"/>
      </bottom>
      <diagonal/>
    </border>
    <border>
      <left style="thin">
        <color indexed="15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11"/>
      </top>
      <bottom style="thin">
        <color indexed="11"/>
      </bottom>
      <diagonal/>
    </border>
    <border>
      <left style="medium">
        <color indexed="64"/>
      </left>
      <right style="medium">
        <color indexed="64"/>
      </right>
      <top style="thin">
        <color indexed="1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11"/>
      </bottom>
      <diagonal/>
    </border>
    <border>
      <left/>
      <right style="medium">
        <color indexed="64"/>
      </right>
      <top style="thin">
        <color indexed="11"/>
      </top>
      <bottom style="thin">
        <color indexed="1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5"/>
      </top>
      <bottom style="thin">
        <color indexed="11"/>
      </bottom>
      <diagonal/>
    </border>
    <border>
      <left style="medium">
        <color indexed="64"/>
      </left>
      <right style="thin">
        <color indexed="11"/>
      </right>
      <top style="medium">
        <color indexed="64"/>
      </top>
      <bottom style="thin">
        <color indexed="15"/>
      </bottom>
      <diagonal/>
    </border>
    <border>
      <left style="thin">
        <color indexed="11"/>
      </left>
      <right style="thin">
        <color indexed="11"/>
      </right>
      <top style="medium">
        <color indexed="64"/>
      </top>
      <bottom style="thin">
        <color indexed="15"/>
      </bottom>
      <diagonal/>
    </border>
    <border>
      <left style="medium">
        <color indexed="64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medium">
        <color indexed="64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medium">
        <color indexed="64"/>
      </left>
      <right style="thin">
        <color indexed="11"/>
      </right>
      <top style="thin">
        <color indexed="15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 style="medium">
        <color indexed="64"/>
      </left>
      <right style="thin">
        <color indexed="11"/>
      </right>
      <top style="thin">
        <color indexed="1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11"/>
      </top>
      <bottom/>
      <diagonal/>
    </border>
    <border>
      <left/>
      <right style="medium">
        <color indexed="64"/>
      </right>
      <top style="thin">
        <color indexed="1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15"/>
      </bottom>
      <diagonal/>
    </border>
    <border>
      <left/>
      <right style="medium">
        <color indexed="64"/>
      </right>
      <top style="thin">
        <color indexed="15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medium">
        <color indexed="64"/>
      </bottom>
      <diagonal/>
    </border>
    <border>
      <left/>
      <right style="thin">
        <color indexed="11"/>
      </right>
      <top style="thin">
        <color indexed="15"/>
      </top>
      <bottom style="thin">
        <color indexed="1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12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/>
      <top style="thin">
        <color indexed="15"/>
      </top>
      <bottom style="thin">
        <color indexed="11"/>
      </bottom>
      <diagonal/>
    </border>
    <border>
      <left style="medium">
        <color indexed="64"/>
      </left>
      <right style="thin">
        <color indexed="11"/>
      </right>
      <top style="thin">
        <color indexed="11"/>
      </top>
      <bottom style="medium">
        <color indexed="64"/>
      </bottom>
      <diagonal/>
    </border>
    <border>
      <left style="thin">
        <color indexed="11"/>
      </left>
      <right/>
      <top style="thin">
        <color indexed="11"/>
      </top>
      <bottom style="medium">
        <color indexed="64"/>
      </bottom>
      <diagonal/>
    </border>
    <border>
      <left style="thin">
        <color indexed="11"/>
      </left>
      <right style="medium">
        <color indexed="64"/>
      </right>
      <top style="thin">
        <color indexed="11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A5A5A5"/>
      </bottom>
      <diagonal/>
    </border>
    <border>
      <left/>
      <right style="medium">
        <color rgb="FF000000"/>
      </right>
      <top style="medium">
        <color rgb="FF000000"/>
      </top>
      <bottom style="medium">
        <color rgb="FFA5A5A5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A5A5A5"/>
      </bottom>
      <diagonal/>
    </border>
    <border>
      <left/>
      <right style="medium">
        <color rgb="FF000000"/>
      </right>
      <top/>
      <bottom style="medium">
        <color rgb="FFA5A5A5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A5A5A5"/>
      </top>
      <bottom style="medium">
        <color rgb="FFA5A5A5"/>
      </bottom>
      <diagonal/>
    </border>
    <border>
      <left/>
      <right style="medium">
        <color rgb="FF000000"/>
      </right>
      <top style="medium">
        <color rgb="FFA5A5A5"/>
      </top>
      <bottom style="medium">
        <color rgb="FFA5A5A5"/>
      </bottom>
      <diagonal/>
    </border>
    <border>
      <left/>
      <right style="medium">
        <color indexed="64"/>
      </right>
      <top style="medium">
        <color indexed="64"/>
      </top>
      <bottom style="thin">
        <color indexed="11"/>
      </bottom>
      <diagonal/>
    </border>
    <border>
      <left/>
      <right style="medium">
        <color indexed="64"/>
      </right>
      <top/>
      <bottom style="thin">
        <color indexed="1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326">
    <xf numFmtId="0" fontId="0" fillId="0" borderId="0" xfId="0">
      <alignment vertical="top" wrapText="1"/>
    </xf>
    <xf numFmtId="0" fontId="0" fillId="0" borderId="0" xfId="0" applyNumberFormat="1">
      <alignment vertical="top" wrapText="1"/>
    </xf>
    <xf numFmtId="49" fontId="11" fillId="0" borderId="1" xfId="0" applyNumberFormat="1" applyFont="1" applyBorder="1" applyAlignment="1">
      <alignment horizontal="center" vertical="center"/>
    </xf>
    <xf numFmtId="49" fontId="9" fillId="3" borderId="4" xfId="0" applyNumberFormat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49" fontId="10" fillId="3" borderId="4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0" fillId="0" borderId="3" xfId="0" applyNumberFormat="1" applyBorder="1">
      <alignment vertical="top" wrapText="1"/>
    </xf>
    <xf numFmtId="0" fontId="12" fillId="11" borderId="2" xfId="0" applyFont="1" applyFill="1" applyBorder="1" applyAlignment="1">
      <alignment horizontal="center" vertical="center"/>
    </xf>
    <xf numFmtId="0" fontId="11" fillId="8" borderId="2" xfId="0" applyNumberFormat="1" applyFont="1" applyFill="1" applyBorder="1" applyAlignment="1">
      <alignment horizontal="center" vertical="center"/>
    </xf>
    <xf numFmtId="0" fontId="11" fillId="9" borderId="2" xfId="0" applyNumberFormat="1" applyFont="1" applyFill="1" applyBorder="1" applyAlignment="1">
      <alignment horizontal="center" vertical="center"/>
    </xf>
    <xf numFmtId="0" fontId="11" fillId="8" borderId="3" xfId="0" applyNumberFormat="1" applyFont="1" applyFill="1" applyBorder="1" applyAlignment="1">
      <alignment horizontal="center" vertical="center"/>
    </xf>
    <xf numFmtId="0" fontId="0" fillId="0" borderId="20" xfId="0" applyNumberFormat="1" applyBorder="1">
      <alignment vertical="top" wrapText="1"/>
    </xf>
    <xf numFmtId="0" fontId="0" fillId="0" borderId="21" xfId="0" applyNumberFormat="1" applyBorder="1">
      <alignment vertical="top" wrapText="1"/>
    </xf>
    <xf numFmtId="0" fontId="11" fillId="8" borderId="42" xfId="0" applyNumberFormat="1" applyFont="1" applyFill="1" applyBorder="1" applyAlignment="1">
      <alignment horizontal="center" vertical="center"/>
    </xf>
    <xf numFmtId="0" fontId="24" fillId="5" borderId="44" xfId="0" applyNumberFormat="1" applyFont="1" applyFill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/>
    </xf>
    <xf numFmtId="49" fontId="9" fillId="3" borderId="39" xfId="0" applyNumberFormat="1" applyFont="1" applyFill="1" applyBorder="1" applyAlignment="1">
      <alignment horizontal="center" vertical="center"/>
    </xf>
    <xf numFmtId="49" fontId="9" fillId="3" borderId="38" xfId="0" applyNumberFormat="1" applyFont="1" applyFill="1" applyBorder="1" applyAlignment="1">
      <alignment horizontal="center" vertical="center"/>
    </xf>
    <xf numFmtId="0" fontId="11" fillId="0" borderId="7" xfId="0" applyNumberFormat="1" applyFont="1" applyBorder="1" applyAlignment="1">
      <alignment horizontal="center" vertical="center"/>
    </xf>
    <xf numFmtId="0" fontId="11" fillId="0" borderId="8" xfId="0" applyNumberFormat="1" applyFont="1" applyBorder="1" applyAlignment="1">
      <alignment horizontal="center" vertical="center"/>
    </xf>
    <xf numFmtId="0" fontId="11" fillId="8" borderId="48" xfId="0" applyNumberFormat="1" applyFont="1" applyFill="1" applyBorder="1" applyAlignment="1">
      <alignment horizontal="center" vertical="center"/>
    </xf>
    <xf numFmtId="0" fontId="11" fillId="8" borderId="46" xfId="0" applyNumberFormat="1" applyFont="1" applyFill="1" applyBorder="1" applyAlignment="1">
      <alignment horizontal="center" vertical="center"/>
    </xf>
    <xf numFmtId="0" fontId="11" fillId="9" borderId="46" xfId="0" applyNumberFormat="1" applyFont="1" applyFill="1" applyBorder="1" applyAlignment="1">
      <alignment horizontal="center" vertical="center"/>
    </xf>
    <xf numFmtId="0" fontId="11" fillId="0" borderId="9" xfId="0" applyNumberFormat="1" applyFont="1" applyBorder="1" applyAlignment="1">
      <alignment horizontal="center" vertical="center"/>
    </xf>
    <xf numFmtId="49" fontId="11" fillId="13" borderId="6" xfId="0" applyNumberFormat="1" applyFont="1" applyFill="1" applyBorder="1" applyAlignment="1">
      <alignment horizontal="center" vertical="center"/>
    </xf>
    <xf numFmtId="49" fontId="11" fillId="15" borderId="6" xfId="0" applyNumberFormat="1" applyFont="1" applyFill="1" applyBorder="1" applyAlignment="1">
      <alignment horizontal="center" vertical="center"/>
    </xf>
    <xf numFmtId="0" fontId="11" fillId="14" borderId="43" xfId="0" applyNumberFormat="1" applyFont="1" applyFill="1" applyBorder="1" applyAlignment="1">
      <alignment horizontal="center" vertical="center"/>
    </xf>
    <xf numFmtId="0" fontId="11" fillId="14" borderId="2" xfId="0" applyNumberFormat="1" applyFont="1" applyFill="1" applyBorder="1" applyAlignment="1">
      <alignment horizontal="center" vertical="center"/>
    </xf>
    <xf numFmtId="49" fontId="11" fillId="0" borderId="53" xfId="0" applyNumberFormat="1" applyFont="1" applyBorder="1" applyAlignment="1">
      <alignment horizontal="center" vertical="center"/>
    </xf>
    <xf numFmtId="0" fontId="11" fillId="14" borderId="10" xfId="0" applyNumberFormat="1" applyFont="1" applyFill="1" applyBorder="1" applyAlignment="1">
      <alignment horizontal="center" vertical="center"/>
    </xf>
    <xf numFmtId="0" fontId="11" fillId="14" borderId="51" xfId="0" applyNumberFormat="1" applyFont="1" applyFill="1" applyBorder="1" applyAlignment="1">
      <alignment horizontal="center" vertical="center"/>
    </xf>
    <xf numFmtId="0" fontId="11" fillId="14" borderId="54" xfId="0" applyNumberFormat="1" applyFont="1" applyFill="1" applyBorder="1" applyAlignment="1">
      <alignment horizontal="center" vertical="center"/>
    </xf>
    <xf numFmtId="49" fontId="11" fillId="0" borderId="55" xfId="0" applyNumberFormat="1" applyFont="1" applyBorder="1" applyAlignment="1">
      <alignment horizontal="center" vertical="center"/>
    </xf>
    <xf numFmtId="0" fontId="11" fillId="16" borderId="16" xfId="0" applyNumberFormat="1" applyFont="1" applyFill="1" applyBorder="1" applyAlignment="1">
      <alignment horizontal="center" vertical="center"/>
    </xf>
    <xf numFmtId="0" fontId="11" fillId="8" borderId="27" xfId="0" applyNumberFormat="1" applyFont="1" applyFill="1" applyBorder="1" applyAlignment="1">
      <alignment horizontal="center" vertical="center"/>
    </xf>
    <xf numFmtId="0" fontId="29" fillId="0" borderId="0" xfId="0" applyNumberFormat="1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9" fontId="11" fillId="0" borderId="73" xfId="0" applyNumberFormat="1" applyFont="1" applyBorder="1" applyAlignment="1">
      <alignment horizontal="center" vertical="center"/>
    </xf>
    <xf numFmtId="49" fontId="31" fillId="15" borderId="52" xfId="0" applyNumberFormat="1" applyFont="1" applyFill="1" applyBorder="1" applyAlignment="1">
      <alignment horizontal="center" vertical="center" wrapText="1"/>
    </xf>
    <xf numFmtId="49" fontId="31" fillId="15" borderId="64" xfId="0" applyNumberFormat="1" applyFont="1" applyFill="1" applyBorder="1" applyAlignment="1">
      <alignment horizontal="center" vertical="center" wrapText="1"/>
    </xf>
    <xf numFmtId="0" fontId="11" fillId="14" borderId="38" xfId="0" applyNumberFormat="1" applyFont="1" applyFill="1" applyBorder="1" applyAlignment="1">
      <alignment horizontal="center" vertical="center"/>
    </xf>
    <xf numFmtId="49" fontId="31" fillId="15" borderId="62" xfId="0" applyNumberFormat="1" applyFont="1" applyFill="1" applyBorder="1" applyAlignment="1">
      <alignment horizontal="center" vertical="center" wrapText="1"/>
    </xf>
    <xf numFmtId="0" fontId="11" fillId="8" borderId="74" xfId="0" applyNumberFormat="1" applyFont="1" applyFill="1" applyBorder="1" applyAlignment="1">
      <alignment horizontal="center" vertical="center"/>
    </xf>
    <xf numFmtId="0" fontId="11" fillId="8" borderId="54" xfId="0" applyNumberFormat="1" applyFont="1" applyFill="1" applyBorder="1" applyAlignment="1">
      <alignment horizontal="center" vertical="center"/>
    </xf>
    <xf numFmtId="0" fontId="11" fillId="9" borderId="54" xfId="0" applyNumberFormat="1" applyFont="1" applyFill="1" applyBorder="1" applyAlignment="1">
      <alignment horizontal="center" vertical="center"/>
    </xf>
    <xf numFmtId="0" fontId="11" fillId="14" borderId="75" xfId="0" applyNumberFormat="1" applyFont="1" applyFill="1" applyBorder="1" applyAlignment="1">
      <alignment horizontal="center" vertical="center"/>
    </xf>
    <xf numFmtId="0" fontId="11" fillId="14" borderId="76" xfId="0" applyNumberFormat="1" applyFont="1" applyFill="1" applyBorder="1" applyAlignment="1">
      <alignment horizontal="center" vertical="center"/>
    </xf>
    <xf numFmtId="49" fontId="31" fillId="15" borderId="41" xfId="0" applyNumberFormat="1" applyFont="1" applyFill="1" applyBorder="1" applyAlignment="1">
      <alignment horizontal="center" vertical="center" wrapText="1"/>
    </xf>
    <xf numFmtId="49" fontId="30" fillId="5" borderId="40" xfId="0" applyNumberFormat="1" applyFont="1" applyFill="1" applyBorder="1" applyAlignment="1">
      <alignment horizontal="center" vertical="center" wrapText="1"/>
    </xf>
    <xf numFmtId="49" fontId="30" fillId="5" borderId="41" xfId="0" applyNumberFormat="1" applyFont="1" applyFill="1" applyBorder="1" applyAlignment="1">
      <alignment horizontal="center" vertical="center" wrapText="1"/>
    </xf>
    <xf numFmtId="49" fontId="30" fillId="6" borderId="41" xfId="0" applyNumberFormat="1" applyFont="1" applyFill="1" applyBorder="1" applyAlignment="1">
      <alignment horizontal="center" vertical="center" wrapText="1"/>
    </xf>
    <xf numFmtId="49" fontId="31" fillId="7" borderId="41" xfId="0" applyNumberFormat="1" applyFont="1" applyFill="1" applyBorder="1" applyAlignment="1">
      <alignment horizontal="center" vertical="center" wrapText="1"/>
    </xf>
    <xf numFmtId="0" fontId="11" fillId="18" borderId="2" xfId="0" applyNumberFormat="1" applyFont="1" applyFill="1" applyBorder="1" applyAlignment="1">
      <alignment horizontal="center" vertical="center"/>
    </xf>
    <xf numFmtId="0" fontId="11" fillId="18" borderId="72" xfId="0" applyNumberFormat="1" applyFont="1" applyFill="1" applyBorder="1" applyAlignment="1">
      <alignment horizontal="center" vertical="center"/>
    </xf>
    <xf numFmtId="0" fontId="11" fillId="18" borderId="54" xfId="0" applyNumberFormat="1" applyFont="1" applyFill="1" applyBorder="1" applyAlignment="1">
      <alignment horizontal="center" vertical="center"/>
    </xf>
    <xf numFmtId="0" fontId="11" fillId="18" borderId="50" xfId="0" applyNumberFormat="1" applyFont="1" applyFill="1" applyBorder="1" applyAlignment="1">
      <alignment horizontal="center" vertical="center"/>
    </xf>
    <xf numFmtId="0" fontId="11" fillId="18" borderId="38" xfId="0" applyNumberFormat="1" applyFont="1" applyFill="1" applyBorder="1" applyAlignment="1">
      <alignment horizontal="center" vertical="center"/>
    </xf>
    <xf numFmtId="0" fontId="11" fillId="18" borderId="75" xfId="0" applyNumberFormat="1" applyFont="1" applyFill="1" applyBorder="1" applyAlignment="1">
      <alignment horizontal="center" vertical="center"/>
    </xf>
    <xf numFmtId="0" fontId="0" fillId="0" borderId="3" xfId="0" applyNumberFormat="1" applyFill="1" applyBorder="1">
      <alignment vertical="top" wrapText="1"/>
    </xf>
    <xf numFmtId="49" fontId="5" fillId="0" borderId="81" xfId="0" applyNumberFormat="1" applyFont="1" applyBorder="1" applyAlignment="1" applyProtection="1">
      <alignment horizontal="center" vertical="center" wrapText="1"/>
      <protection locked="0"/>
    </xf>
    <xf numFmtId="49" fontId="5" fillId="0" borderId="82" xfId="0" applyNumberFormat="1" applyFont="1" applyBorder="1" applyAlignment="1" applyProtection="1">
      <alignment horizontal="center" vertical="center" wrapText="1"/>
      <protection locked="0"/>
    </xf>
    <xf numFmtId="49" fontId="5" fillId="0" borderId="83" xfId="0" applyNumberFormat="1" applyFont="1" applyBorder="1" applyAlignment="1" applyProtection="1">
      <alignment horizontal="center" vertical="center" wrapText="1"/>
      <protection locked="0"/>
    </xf>
    <xf numFmtId="0" fontId="33" fillId="0" borderId="0" xfId="0" applyNumberFormat="1" applyFont="1">
      <alignment vertical="top" wrapText="1"/>
    </xf>
    <xf numFmtId="0" fontId="0" fillId="0" borderId="3" xfId="0" applyNumberFormat="1" applyBorder="1" applyProtection="1">
      <alignment vertical="top" wrapText="1"/>
    </xf>
    <xf numFmtId="0" fontId="0" fillId="0" borderId="0" xfId="0" applyNumberFormat="1" applyProtection="1">
      <alignment vertical="top" wrapText="1"/>
    </xf>
    <xf numFmtId="49" fontId="19" fillId="0" borderId="3" xfId="0" applyNumberFormat="1" applyFont="1" applyFill="1" applyBorder="1" applyAlignment="1" applyProtection="1">
      <alignment horizontal="center" vertical="center" wrapText="1"/>
    </xf>
    <xf numFmtId="49" fontId="14" fillId="5" borderId="31" xfId="0" applyNumberFormat="1" applyFont="1" applyFill="1" applyBorder="1" applyAlignment="1" applyProtection="1">
      <alignment horizontal="center" vertical="center"/>
    </xf>
    <xf numFmtId="49" fontId="14" fillId="5" borderId="69" xfId="0" applyNumberFormat="1" applyFont="1" applyFill="1" applyBorder="1" applyAlignment="1" applyProtection="1">
      <alignment horizontal="center" vertical="center"/>
    </xf>
    <xf numFmtId="49" fontId="14" fillId="6" borderId="31" xfId="0" applyNumberFormat="1" applyFont="1" applyFill="1" applyBorder="1" applyAlignment="1" applyProtection="1">
      <alignment horizontal="center" vertical="center"/>
    </xf>
    <xf numFmtId="49" fontId="14" fillId="6" borderId="33" xfId="0" applyNumberFormat="1" applyFont="1" applyFill="1" applyBorder="1" applyAlignment="1" applyProtection="1">
      <alignment horizontal="center" vertical="center"/>
    </xf>
    <xf numFmtId="49" fontId="17" fillId="7" borderId="27" xfId="0" applyNumberFormat="1" applyFont="1" applyFill="1" applyBorder="1" applyAlignment="1" applyProtection="1">
      <alignment horizontal="center" vertical="center"/>
    </xf>
    <xf numFmtId="49" fontId="17" fillId="7" borderId="33" xfId="0" applyNumberFormat="1" applyFont="1" applyFill="1" applyBorder="1" applyAlignment="1" applyProtection="1">
      <alignment horizontal="center" vertical="center"/>
    </xf>
    <xf numFmtId="49" fontId="32" fillId="15" borderId="6" xfId="0" applyNumberFormat="1" applyFont="1" applyFill="1" applyBorder="1" applyAlignment="1" applyProtection="1">
      <alignment horizontal="center" vertical="center"/>
    </xf>
    <xf numFmtId="49" fontId="14" fillId="5" borderId="59" xfId="0" applyNumberFormat="1" applyFont="1" applyFill="1" applyBorder="1" applyAlignment="1" applyProtection="1">
      <alignment horizontal="center" vertical="center"/>
    </xf>
    <xf numFmtId="49" fontId="14" fillId="6" borderId="61" xfId="0" applyNumberFormat="1" applyFont="1" applyFill="1" applyBorder="1" applyAlignment="1" applyProtection="1">
      <alignment horizontal="center" vertical="center"/>
    </xf>
    <xf numFmtId="49" fontId="17" fillId="0" borderId="61" xfId="0" applyNumberFormat="1" applyFont="1" applyFill="1" applyBorder="1" applyAlignment="1" applyProtection="1">
      <alignment horizontal="center" vertical="center"/>
    </xf>
    <xf numFmtId="49" fontId="17" fillId="15" borderId="60" xfId="0" applyNumberFormat="1" applyFont="1" applyFill="1" applyBorder="1" applyAlignment="1" applyProtection="1">
      <alignment horizontal="center" vertical="center"/>
    </xf>
    <xf numFmtId="49" fontId="20" fillId="0" borderId="21" xfId="0" applyNumberFormat="1" applyFont="1" applyFill="1" applyBorder="1" applyAlignment="1" applyProtection="1">
      <alignment horizontal="center" vertical="center"/>
    </xf>
    <xf numFmtId="49" fontId="2" fillId="2" borderId="77" xfId="0" applyNumberFormat="1" applyFont="1" applyFill="1" applyBorder="1" applyAlignment="1" applyProtection="1">
      <alignment horizontal="center" vertical="center" wrapText="1"/>
    </xf>
    <xf numFmtId="49" fontId="2" fillId="2" borderId="78" xfId="0" applyNumberFormat="1" applyFont="1" applyFill="1" applyBorder="1" applyAlignment="1" applyProtection="1">
      <alignment horizontal="center" vertical="center" wrapText="1"/>
    </xf>
    <xf numFmtId="49" fontId="2" fillId="2" borderId="71" xfId="0" applyNumberFormat="1" applyFont="1" applyFill="1" applyBorder="1" applyAlignment="1" applyProtection="1">
      <alignment horizontal="center" vertical="center" wrapText="1"/>
    </xf>
    <xf numFmtId="49" fontId="2" fillId="2" borderId="79" xfId="0" applyNumberFormat="1" applyFont="1" applyFill="1" applyBorder="1" applyAlignment="1" applyProtection="1">
      <alignment horizontal="center" vertical="center" wrapText="1"/>
    </xf>
    <xf numFmtId="49" fontId="14" fillId="6" borderId="32" xfId="0" applyNumberFormat="1" applyFont="1" applyFill="1" applyBorder="1" applyAlignment="1" applyProtection="1">
      <alignment horizontal="center" vertical="center"/>
    </xf>
    <xf numFmtId="49" fontId="14" fillId="5" borderId="87" xfId="0" applyNumberFormat="1" applyFont="1" applyFill="1" applyBorder="1" applyAlignment="1" applyProtection="1">
      <alignment horizontal="center" vertical="center"/>
    </xf>
    <xf numFmtId="49" fontId="14" fillId="6" borderId="88" xfId="0" applyNumberFormat="1" applyFont="1" applyFill="1" applyBorder="1" applyAlignment="1" applyProtection="1">
      <alignment horizontal="center" vertical="center"/>
    </xf>
    <xf numFmtId="49" fontId="14" fillId="6" borderId="87" xfId="0" applyNumberFormat="1" applyFont="1" applyFill="1" applyBorder="1" applyAlignment="1" applyProtection="1">
      <alignment horizontal="center" vertical="center"/>
    </xf>
    <xf numFmtId="49" fontId="17" fillId="7" borderId="88" xfId="0" applyNumberFormat="1" applyFont="1" applyFill="1" applyBorder="1" applyAlignment="1" applyProtection="1">
      <alignment horizontal="center" vertical="center"/>
    </xf>
    <xf numFmtId="49" fontId="17" fillId="0" borderId="88" xfId="0" applyNumberFormat="1" applyFont="1" applyFill="1" applyBorder="1" applyAlignment="1" applyProtection="1">
      <alignment horizontal="center" vertical="center"/>
    </xf>
    <xf numFmtId="49" fontId="32" fillId="15" borderId="17" xfId="0" applyNumberFormat="1" applyFont="1" applyFill="1" applyBorder="1" applyAlignment="1" applyProtection="1">
      <alignment horizontal="center" vertical="center"/>
    </xf>
    <xf numFmtId="49" fontId="32" fillId="15" borderId="15" xfId="0" applyNumberFormat="1" applyFont="1" applyFill="1" applyBorder="1" applyAlignment="1" applyProtection="1">
      <alignment horizontal="center" vertical="center"/>
    </xf>
    <xf numFmtId="49" fontId="20" fillId="0" borderId="3" xfId="0" applyNumberFormat="1" applyFont="1" applyFill="1" applyBorder="1" applyAlignment="1" applyProtection="1">
      <alignment horizontal="center" vertical="center"/>
    </xf>
    <xf numFmtId="0" fontId="6" fillId="4" borderId="63" xfId="0" applyFont="1" applyFill="1" applyBorder="1" applyAlignment="1" applyProtection="1">
      <alignment horizontal="center" vertical="center" wrapText="1"/>
    </xf>
    <xf numFmtId="0" fontId="6" fillId="4" borderId="68" xfId="0" applyFont="1" applyFill="1" applyBorder="1" applyAlignment="1" applyProtection="1">
      <alignment horizontal="center" vertical="center" wrapText="1"/>
    </xf>
    <xf numFmtId="0" fontId="6" fillId="4" borderId="66" xfId="0" applyFont="1" applyFill="1" applyBorder="1" applyAlignment="1" applyProtection="1">
      <alignment horizontal="center" vertical="center" wrapText="1"/>
    </xf>
    <xf numFmtId="0" fontId="6" fillId="4" borderId="65" xfId="0" applyFont="1" applyFill="1" applyBorder="1" applyAlignment="1" applyProtection="1">
      <alignment horizontal="center" vertical="center" wrapText="1"/>
    </xf>
    <xf numFmtId="0" fontId="6" fillId="4" borderId="23" xfId="0" applyFont="1" applyFill="1" applyBorder="1" applyAlignment="1" applyProtection="1">
      <alignment horizontal="center" vertical="center" wrapText="1"/>
    </xf>
    <xf numFmtId="0" fontId="8" fillId="4" borderId="92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0" fontId="33" fillId="0" borderId="3" xfId="0" applyNumberFormat="1" applyFont="1" applyFill="1" applyBorder="1" applyProtection="1">
      <alignment vertical="top" wrapText="1"/>
    </xf>
    <xf numFmtId="1" fontId="21" fillId="0" borderId="3" xfId="0" applyNumberFormat="1" applyFont="1" applyFill="1" applyBorder="1" applyAlignment="1" applyProtection="1">
      <alignment horizontal="center" vertical="center" wrapText="1"/>
    </xf>
    <xf numFmtId="0" fontId="6" fillId="4" borderId="11" xfId="0" applyFont="1" applyFill="1" applyBorder="1" applyAlignment="1" applyProtection="1">
      <alignment horizontal="center" vertical="center" wrapText="1"/>
    </xf>
    <xf numFmtId="0" fontId="6" fillId="4" borderId="67" xfId="0" applyFont="1" applyFill="1" applyBorder="1" applyAlignment="1" applyProtection="1">
      <alignment horizontal="center" vertical="center" wrapText="1"/>
    </xf>
    <xf numFmtId="0" fontId="6" fillId="4" borderId="12" xfId="0" applyFont="1" applyFill="1" applyBorder="1" applyAlignment="1" applyProtection="1">
      <alignment horizontal="center" vertical="center" wrapText="1"/>
    </xf>
    <xf numFmtId="0" fontId="6" fillId="4" borderId="28" xfId="0" applyFont="1" applyFill="1" applyBorder="1" applyAlignment="1" applyProtection="1">
      <alignment horizontal="center" vertical="center" wrapText="1"/>
    </xf>
    <xf numFmtId="0" fontId="6" fillId="4" borderId="91" xfId="0" applyFont="1" applyFill="1" applyBorder="1" applyAlignment="1" applyProtection="1">
      <alignment horizontal="center" vertical="center" wrapText="1"/>
    </xf>
    <xf numFmtId="0" fontId="8" fillId="4" borderId="90" xfId="0" applyFont="1" applyFill="1" applyBorder="1" applyAlignment="1" applyProtection="1">
      <alignment horizontal="center" vertical="center" wrapText="1"/>
    </xf>
    <xf numFmtId="0" fontId="8" fillId="4" borderId="62" xfId="0" applyFont="1" applyFill="1" applyBorder="1" applyAlignment="1" applyProtection="1">
      <alignment horizontal="center" vertical="center" wrapText="1"/>
    </xf>
    <xf numFmtId="0" fontId="8" fillId="4" borderId="93" xfId="0" applyFont="1" applyFill="1" applyBorder="1" applyAlignment="1" applyProtection="1">
      <alignment horizontal="center" vertical="center" wrapText="1"/>
    </xf>
    <xf numFmtId="0" fontId="8" fillId="4" borderId="89" xfId="0" applyFont="1" applyFill="1" applyBorder="1" applyAlignment="1" applyProtection="1">
      <alignment horizontal="center" vertical="center" wrapText="1"/>
    </xf>
    <xf numFmtId="0" fontId="6" fillId="4" borderId="81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</xf>
    <xf numFmtId="0" fontId="8" fillId="4" borderId="56" xfId="0" applyFont="1" applyFill="1" applyBorder="1" applyAlignment="1" applyProtection="1">
      <alignment horizontal="center" vertical="center" wrapText="1"/>
    </xf>
    <xf numFmtId="0" fontId="8" fillId="4" borderId="86" xfId="0" applyFont="1" applyFill="1" applyBorder="1" applyAlignment="1" applyProtection="1">
      <alignment horizontal="center" vertical="center" wrapText="1"/>
    </xf>
    <xf numFmtId="0" fontId="6" fillId="4" borderId="18" xfId="0" applyFont="1" applyFill="1" applyBorder="1" applyAlignment="1" applyProtection="1">
      <alignment horizontal="center" vertical="center" wrapText="1"/>
    </xf>
    <xf numFmtId="0" fontId="8" fillId="4" borderId="14" xfId="0" applyFont="1" applyFill="1" applyBorder="1" applyAlignment="1" applyProtection="1">
      <alignment horizontal="center" vertical="center" wrapText="1"/>
    </xf>
    <xf numFmtId="0" fontId="8" fillId="4" borderId="57" xfId="0" applyFont="1" applyFill="1" applyBorder="1" applyAlignment="1" applyProtection="1">
      <alignment horizontal="center" vertical="center" wrapText="1"/>
    </xf>
    <xf numFmtId="0" fontId="8" fillId="4" borderId="2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0" fillId="0" borderId="0" xfId="0" applyProtection="1">
      <alignment vertical="top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</xf>
    <xf numFmtId="49" fontId="13" fillId="4" borderId="6" xfId="0" applyNumberFormat="1" applyFont="1" applyFill="1" applyBorder="1" applyAlignment="1" applyProtection="1">
      <alignment horizontal="center" vertical="center" wrapText="1"/>
    </xf>
    <xf numFmtId="49" fontId="17" fillId="15" borderId="33" xfId="0" applyNumberFormat="1" applyFont="1" applyFill="1" applyBorder="1" applyAlignment="1" applyProtection="1">
      <alignment horizontal="center" vertical="center"/>
    </xf>
    <xf numFmtId="49" fontId="17" fillId="13" borderId="33" xfId="0" applyNumberFormat="1" applyFont="1" applyFill="1" applyBorder="1" applyAlignment="1" applyProtection="1">
      <alignment horizontal="center" vertical="center"/>
    </xf>
    <xf numFmtId="49" fontId="8" fillId="0" borderId="15" xfId="0" applyNumberFormat="1" applyFont="1" applyBorder="1" applyAlignment="1" applyProtection="1">
      <alignment horizontal="center" vertical="center" wrapText="1"/>
    </xf>
    <xf numFmtId="49" fontId="17" fillId="12" borderId="33" xfId="0" applyNumberFormat="1" applyFont="1" applyFill="1" applyBorder="1" applyAlignment="1" applyProtection="1">
      <alignment horizontal="center" vertical="center"/>
    </xf>
    <xf numFmtId="49" fontId="2" fillId="4" borderId="6" xfId="0" applyNumberFormat="1" applyFont="1" applyFill="1" applyBorder="1" applyAlignment="1" applyProtection="1">
      <alignment horizontal="center" vertical="center" wrapText="1"/>
    </xf>
    <xf numFmtId="0" fontId="27" fillId="4" borderId="26" xfId="0" applyNumberFormat="1" applyFont="1" applyFill="1" applyBorder="1" applyAlignment="1" applyProtection="1">
      <alignment horizontal="center" vertical="center" wrapText="1"/>
    </xf>
    <xf numFmtId="0" fontId="2" fillId="17" borderId="26" xfId="0" applyNumberFormat="1" applyFont="1" applyFill="1" applyBorder="1" applyAlignment="1" applyProtection="1">
      <alignment horizontal="center" vertical="center" wrapText="1"/>
    </xf>
    <xf numFmtId="0" fontId="2" fillId="16" borderId="26" xfId="0" applyNumberFormat="1" applyFont="1" applyFill="1" applyBorder="1" applyAlignment="1" applyProtection="1">
      <alignment horizontal="center" vertical="center" wrapText="1"/>
    </xf>
    <xf numFmtId="2" fontId="22" fillId="0" borderId="15" xfId="0" applyNumberFormat="1" applyFont="1" applyFill="1" applyBorder="1" applyAlignment="1" applyProtection="1">
      <alignment horizontal="center" vertical="center" wrapText="1"/>
    </xf>
    <xf numFmtId="1" fontId="15" fillId="8" borderId="6" xfId="0" applyNumberFormat="1" applyFont="1" applyFill="1" applyBorder="1" applyAlignment="1" applyProtection="1">
      <alignment horizontal="center" vertical="center" wrapText="1"/>
    </xf>
    <xf numFmtId="1" fontId="7" fillId="9" borderId="6" xfId="0" applyNumberFormat="1" applyFont="1" applyFill="1" applyBorder="1" applyAlignment="1" applyProtection="1">
      <alignment horizontal="center" vertical="center" wrapText="1"/>
    </xf>
    <xf numFmtId="1" fontId="16" fillId="14" borderId="6" xfId="0" applyNumberFormat="1" applyFont="1" applyFill="1" applyBorder="1" applyAlignment="1" applyProtection="1">
      <alignment horizontal="center" vertical="center" wrapText="1"/>
    </xf>
    <xf numFmtId="49" fontId="2" fillId="4" borderId="25" xfId="0" applyNumberFormat="1" applyFont="1" applyFill="1" applyBorder="1" applyAlignment="1" applyProtection="1">
      <alignment horizontal="center" vertical="center" wrapText="1"/>
    </xf>
    <xf numFmtId="0" fontId="2" fillId="16" borderId="20" xfId="0" applyNumberFormat="1" applyFont="1" applyFill="1" applyBorder="1" applyAlignment="1" applyProtection="1">
      <alignment horizontal="center" vertical="center" wrapText="1"/>
    </xf>
    <xf numFmtId="2" fontId="22" fillId="0" borderId="6" xfId="0" applyNumberFormat="1" applyFont="1" applyFill="1" applyBorder="1" applyAlignment="1" applyProtection="1">
      <alignment horizontal="center" vertical="center" wrapText="1"/>
    </xf>
    <xf numFmtId="1" fontId="15" fillId="8" borderId="25" xfId="0" applyNumberFormat="1" applyFont="1" applyFill="1" applyBorder="1" applyAlignment="1" applyProtection="1">
      <alignment horizontal="center" vertical="center" wrapText="1"/>
    </xf>
    <xf numFmtId="1" fontId="7" fillId="9" borderId="25" xfId="0" applyNumberFormat="1" applyFont="1" applyFill="1" applyBorder="1" applyAlignment="1" applyProtection="1">
      <alignment horizontal="center" vertical="center" wrapText="1"/>
    </xf>
    <xf numFmtId="1" fontId="16" fillId="14" borderId="25" xfId="0" applyNumberFormat="1" applyFont="1" applyFill="1" applyBorder="1" applyAlignment="1" applyProtection="1">
      <alignment horizontal="center" vertical="center" wrapText="1"/>
    </xf>
    <xf numFmtId="49" fontId="2" fillId="4" borderId="16" xfId="0" applyNumberFormat="1" applyFont="1" applyFill="1" applyBorder="1" applyAlignment="1" applyProtection="1">
      <alignment horizontal="center" vertical="center" wrapText="1"/>
    </xf>
    <xf numFmtId="0" fontId="2" fillId="16" borderId="18" xfId="0" applyNumberFormat="1" applyFont="1" applyFill="1" applyBorder="1" applyAlignment="1" applyProtection="1">
      <alignment horizontal="center" vertical="center" wrapText="1"/>
    </xf>
    <xf numFmtId="2" fontId="22" fillId="0" borderId="16" xfId="0" applyNumberFormat="1" applyFont="1" applyFill="1" applyBorder="1" applyAlignment="1" applyProtection="1">
      <alignment horizontal="center" vertical="center" wrapText="1"/>
    </xf>
    <xf numFmtId="1" fontId="15" fillId="8" borderId="16" xfId="0" applyNumberFormat="1" applyFont="1" applyFill="1" applyBorder="1" applyAlignment="1" applyProtection="1">
      <alignment horizontal="center" vertical="center" wrapText="1"/>
    </xf>
    <xf numFmtId="1" fontId="7" fillId="9" borderId="16" xfId="0" applyNumberFormat="1" applyFont="1" applyFill="1" applyBorder="1" applyAlignment="1" applyProtection="1">
      <alignment horizontal="center" vertical="center" wrapText="1"/>
    </xf>
    <xf numFmtId="1" fontId="16" fillId="14" borderId="16" xfId="0" applyNumberFormat="1" applyFont="1" applyFill="1" applyBorder="1" applyAlignment="1" applyProtection="1">
      <alignment horizontal="center" vertical="center" wrapText="1"/>
    </xf>
    <xf numFmtId="0" fontId="0" fillId="0" borderId="19" xfId="0" applyNumberFormat="1" applyBorder="1" applyProtection="1">
      <alignment vertical="top" wrapText="1"/>
    </xf>
    <xf numFmtId="0" fontId="28" fillId="4" borderId="6" xfId="0" applyNumberFormat="1" applyFont="1" applyFill="1" applyBorder="1" applyAlignment="1" applyProtection="1">
      <alignment horizontal="center" vertical="top" wrapText="1"/>
    </xf>
    <xf numFmtId="0" fontId="29" fillId="0" borderId="26" xfId="0" applyNumberFormat="1" applyFont="1" applyBorder="1" applyAlignment="1" applyProtection="1">
      <alignment horizontal="right" vertical="center" wrapText="1"/>
    </xf>
    <xf numFmtId="49" fontId="17" fillId="15" borderId="6" xfId="0" applyNumberFormat="1" applyFont="1" applyFill="1" applyBorder="1" applyAlignment="1" applyProtection="1">
      <alignment horizontal="center" vertical="center"/>
    </xf>
    <xf numFmtId="0" fontId="27" fillId="4" borderId="26" xfId="0" applyNumberFormat="1" applyFont="1" applyFill="1" applyBorder="1" applyAlignment="1" applyProtection="1">
      <alignment horizontal="center" vertical="center"/>
    </xf>
    <xf numFmtId="1" fontId="27" fillId="4" borderId="27" xfId="0" applyNumberFormat="1" applyFont="1" applyFill="1" applyBorder="1" applyAlignment="1" applyProtection="1">
      <alignment horizontal="center" vertical="center"/>
    </xf>
    <xf numFmtId="0" fontId="8" fillId="4" borderId="59" xfId="0" applyFont="1" applyFill="1" applyBorder="1" applyAlignment="1" applyProtection="1">
      <alignment horizontal="center" vertical="center" wrapText="1"/>
    </xf>
    <xf numFmtId="0" fontId="8" fillId="4" borderId="61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vertical="center" wrapText="1"/>
    </xf>
    <xf numFmtId="49" fontId="14" fillId="5" borderId="96" xfId="0" applyNumberFormat="1" applyFont="1" applyFill="1" applyBorder="1" applyAlignment="1" applyProtection="1">
      <alignment horizontal="center" vertical="center"/>
    </xf>
    <xf numFmtId="49" fontId="14" fillId="6" borderId="92" xfId="0" applyNumberFormat="1" applyFont="1" applyFill="1" applyBorder="1" applyAlignment="1" applyProtection="1">
      <alignment horizontal="center" vertical="center"/>
    </xf>
    <xf numFmtId="49" fontId="17" fillId="0" borderId="92" xfId="0" applyNumberFormat="1" applyFont="1" applyFill="1" applyBorder="1" applyAlignment="1" applyProtection="1">
      <alignment horizontal="center" vertical="center"/>
    </xf>
    <xf numFmtId="49" fontId="17" fillId="15" borderId="97" xfId="0" applyNumberFormat="1" applyFont="1" applyFill="1" applyBorder="1" applyAlignment="1" applyProtection="1">
      <alignment horizontal="center" vertical="center"/>
    </xf>
    <xf numFmtId="0" fontId="4" fillId="4" borderId="59" xfId="0" applyNumberFormat="1" applyFont="1" applyFill="1" applyBorder="1" applyAlignment="1" applyProtection="1">
      <alignment horizontal="center" vertical="center" wrapText="1"/>
    </xf>
    <xf numFmtId="0" fontId="34" fillId="17" borderId="6" xfId="0" applyFont="1" applyFill="1" applyBorder="1" applyAlignment="1" applyProtection="1">
      <alignment horizontal="center" vertical="center" wrapText="1"/>
      <protection locked="0"/>
    </xf>
    <xf numFmtId="0" fontId="15" fillId="19" borderId="100" xfId="0" applyFont="1" applyFill="1" applyBorder="1" applyAlignment="1" applyProtection="1">
      <alignment horizontal="center" vertical="center" wrapText="1"/>
      <protection locked="0"/>
    </xf>
    <xf numFmtId="0" fontId="36" fillId="20" borderId="101" xfId="0" applyFont="1" applyFill="1" applyBorder="1" applyAlignment="1" applyProtection="1">
      <alignment horizontal="center" vertical="center" wrapText="1"/>
      <protection locked="0"/>
    </xf>
    <xf numFmtId="0" fontId="16" fillId="21" borderId="101" xfId="0" applyFont="1" applyFill="1" applyBorder="1" applyAlignment="1" applyProtection="1">
      <alignment horizontal="center" vertical="center" wrapText="1"/>
      <protection locked="0"/>
    </xf>
    <xf numFmtId="0" fontId="15" fillId="19" borderId="102" xfId="0" applyFont="1" applyFill="1" applyBorder="1" applyAlignment="1" applyProtection="1">
      <alignment horizontal="center" vertical="center" wrapText="1"/>
      <protection locked="0"/>
    </xf>
    <xf numFmtId="0" fontId="36" fillId="20" borderId="103" xfId="0" applyFont="1" applyFill="1" applyBorder="1" applyAlignment="1" applyProtection="1">
      <alignment horizontal="center" vertical="center" wrapText="1"/>
      <protection locked="0"/>
    </xf>
    <xf numFmtId="0" fontId="16" fillId="21" borderId="103" xfId="0" applyFont="1" applyFill="1" applyBorder="1" applyAlignment="1" applyProtection="1">
      <alignment horizontal="center" vertical="center" wrapText="1"/>
      <protection locked="0"/>
    </xf>
    <xf numFmtId="0" fontId="15" fillId="19" borderId="105" xfId="0" applyFont="1" applyFill="1" applyBorder="1" applyAlignment="1" applyProtection="1">
      <alignment horizontal="center" vertical="center" wrapText="1"/>
      <protection locked="0"/>
    </xf>
    <xf numFmtId="0" fontId="36" fillId="20" borderId="106" xfId="0" applyFont="1" applyFill="1" applyBorder="1" applyAlignment="1" applyProtection="1">
      <alignment horizontal="center" vertical="center" wrapText="1"/>
      <protection locked="0"/>
    </xf>
    <xf numFmtId="0" fontId="16" fillId="21" borderId="106" xfId="0" applyFont="1" applyFill="1" applyBorder="1" applyAlignment="1" applyProtection="1">
      <alignment horizontal="center" vertical="center" wrapText="1"/>
      <protection locked="0"/>
    </xf>
    <xf numFmtId="0" fontId="36" fillId="20" borderId="104" xfId="0" applyFont="1" applyFill="1" applyBorder="1" applyAlignment="1" applyProtection="1">
      <alignment horizontal="center" vertical="center" wrapText="1"/>
      <protection locked="0"/>
    </xf>
    <xf numFmtId="0" fontId="16" fillId="21" borderId="104" xfId="0" applyFont="1" applyFill="1" applyBorder="1" applyAlignment="1" applyProtection="1">
      <alignment horizontal="center" vertical="center" wrapText="1"/>
      <protection locked="0"/>
    </xf>
    <xf numFmtId="0" fontId="37" fillId="0" borderId="94" xfId="0" applyFont="1" applyFill="1" applyBorder="1" applyAlignment="1" applyProtection="1">
      <alignment horizontal="center" vertical="center" wrapText="1"/>
      <protection locked="0"/>
    </xf>
    <xf numFmtId="0" fontId="37" fillId="0" borderId="95" xfId="0" applyFont="1" applyFill="1" applyBorder="1" applyAlignment="1" applyProtection="1">
      <alignment horizontal="center" vertical="center" wrapText="1"/>
      <protection locked="0"/>
    </xf>
    <xf numFmtId="0" fontId="37" fillId="0" borderId="58" xfId="0" applyFont="1" applyFill="1" applyBorder="1" applyAlignment="1" applyProtection="1">
      <alignment horizontal="center" vertical="center" wrapText="1"/>
      <protection locked="0"/>
    </xf>
    <xf numFmtId="49" fontId="5" fillId="4" borderId="98" xfId="0" applyNumberFormat="1" applyFont="1" applyFill="1" applyBorder="1" applyAlignment="1" applyProtection="1">
      <alignment horizontal="center" vertical="center" wrapText="1"/>
    </xf>
    <xf numFmtId="1" fontId="15" fillId="4" borderId="59" xfId="0" applyNumberFormat="1" applyFont="1" applyFill="1" applyBorder="1" applyAlignment="1" applyProtection="1">
      <alignment horizontal="center" vertical="center" wrapText="1"/>
    </xf>
    <xf numFmtId="1" fontId="7" fillId="4" borderId="61" xfId="0" applyNumberFormat="1" applyFont="1" applyFill="1" applyBorder="1" applyAlignment="1" applyProtection="1">
      <alignment horizontal="center" vertical="center" wrapText="1"/>
    </xf>
    <xf numFmtId="1" fontId="16" fillId="4" borderId="60" xfId="0" applyNumberFormat="1" applyFont="1" applyFill="1" applyBorder="1" applyAlignment="1" applyProtection="1">
      <alignment horizontal="center" vertical="center" wrapText="1"/>
    </xf>
    <xf numFmtId="1" fontId="15" fillId="8" borderId="107" xfId="0" applyNumberFormat="1" applyFont="1" applyFill="1" applyBorder="1" applyAlignment="1" applyProtection="1">
      <alignment horizontal="center" vertical="center" wrapText="1"/>
      <protection locked="0"/>
    </xf>
    <xf numFmtId="1" fontId="15" fillId="8" borderId="108" xfId="0" applyNumberFormat="1" applyFont="1" applyFill="1" applyBorder="1" applyAlignment="1" applyProtection="1">
      <alignment horizontal="center" vertical="center" wrapText="1"/>
      <protection locked="0"/>
    </xf>
    <xf numFmtId="1" fontId="15" fillId="8" borderId="2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24" xfId="0" applyNumberFormat="1" applyFont="1" applyBorder="1" applyAlignment="1" applyProtection="1">
      <alignment horizontal="center" vertical="center" wrapText="1"/>
      <protection locked="0"/>
    </xf>
    <xf numFmtId="0" fontId="6" fillId="4" borderId="56" xfId="0" applyFont="1" applyFill="1" applyBorder="1" applyAlignment="1" applyProtection="1">
      <alignment horizontal="center" vertical="center" wrapText="1"/>
    </xf>
    <xf numFmtId="0" fontId="6" fillId="4" borderId="13" xfId="0" applyFont="1" applyFill="1" applyBorder="1" applyAlignment="1" applyProtection="1">
      <alignment horizontal="center" vertical="center" wrapText="1"/>
    </xf>
    <xf numFmtId="0" fontId="6" fillId="4" borderId="14" xfId="0" applyFont="1" applyFill="1" applyBorder="1" applyAlignment="1" applyProtection="1">
      <alignment horizontal="center" vertical="center" wrapText="1"/>
    </xf>
    <xf numFmtId="0" fontId="6" fillId="4" borderId="57" xfId="0" applyFont="1" applyFill="1" applyBorder="1" applyAlignment="1" applyProtection="1">
      <alignment horizontal="center" vertical="center" wrapText="1"/>
    </xf>
    <xf numFmtId="0" fontId="6" fillId="4" borderId="36" xfId="0" applyFont="1" applyFill="1" applyBorder="1" applyAlignment="1" applyProtection="1">
      <alignment horizontal="center" vertical="center" wrapText="1"/>
    </xf>
    <xf numFmtId="0" fontId="6" fillId="4" borderId="37" xfId="0" applyFont="1" applyFill="1" applyBorder="1" applyAlignment="1" applyProtection="1">
      <alignment horizontal="center" vertical="center" wrapText="1"/>
    </xf>
    <xf numFmtId="0" fontId="8" fillId="4" borderId="84" xfId="0" applyFont="1" applyFill="1" applyBorder="1" applyAlignment="1" applyProtection="1">
      <alignment horizontal="center" vertical="center" wrapText="1"/>
    </xf>
    <xf numFmtId="0" fontId="8" fillId="4" borderId="85" xfId="0" applyFont="1" applyFill="1" applyBorder="1" applyAlignment="1" applyProtection="1">
      <alignment horizontal="center" vertical="center" wrapText="1"/>
    </xf>
    <xf numFmtId="0" fontId="4" fillId="4" borderId="96" xfId="0" applyNumberFormat="1" applyFont="1" applyFill="1" applyBorder="1" applyAlignment="1" applyProtection="1">
      <alignment horizontal="center" vertical="center" wrapText="1"/>
    </xf>
    <xf numFmtId="0" fontId="29" fillId="0" borderId="17" xfId="0" applyFont="1" applyBorder="1" applyAlignment="1" applyProtection="1">
      <alignment vertical="center" wrapText="1"/>
      <protection locked="0"/>
    </xf>
    <xf numFmtId="1" fontId="15" fillId="8" borderId="15" xfId="0" applyNumberFormat="1" applyFont="1" applyFill="1" applyBorder="1" applyAlignment="1" applyProtection="1">
      <alignment horizontal="center" vertical="center" wrapText="1"/>
      <protection locked="0"/>
    </xf>
    <xf numFmtId="1" fontId="7" fillId="9" borderId="15" xfId="0" applyNumberFormat="1" applyFont="1" applyFill="1" applyBorder="1" applyAlignment="1" applyProtection="1">
      <alignment horizontal="center" vertical="center" wrapText="1"/>
      <protection locked="0"/>
    </xf>
    <xf numFmtId="1" fontId="16" fillId="18" borderId="17" xfId="0" applyNumberFormat="1" applyFont="1" applyFill="1" applyBorder="1" applyAlignment="1" applyProtection="1">
      <alignment horizontal="center" vertical="center" wrapText="1"/>
      <protection locked="0"/>
    </xf>
    <xf numFmtId="0" fontId="34" fillId="17" borderId="15" xfId="0" applyFont="1" applyFill="1" applyBorder="1" applyAlignment="1" applyProtection="1">
      <alignment horizontal="center" vertical="center" wrapText="1"/>
      <protection locked="0"/>
    </xf>
    <xf numFmtId="0" fontId="6" fillId="4" borderId="8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80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6" fillId="4" borderId="59" xfId="0" applyFont="1" applyFill="1" applyBorder="1" applyAlignment="1" applyProtection="1">
      <alignment horizontal="center" vertical="center" wrapText="1"/>
    </xf>
    <xf numFmtId="0" fontId="6" fillId="4" borderId="98" xfId="0" applyFont="1" applyFill="1" applyBorder="1" applyAlignment="1" applyProtection="1">
      <alignment horizontal="center" vertical="center" wrapText="1"/>
    </xf>
    <xf numFmtId="0" fontId="6" fillId="4" borderId="60" xfId="0" applyFont="1" applyFill="1" applyBorder="1" applyAlignment="1" applyProtection="1">
      <alignment horizontal="center" vertical="center" wrapText="1"/>
    </xf>
    <xf numFmtId="0" fontId="6" fillId="4" borderId="99" xfId="0" applyFont="1" applyFill="1" applyBorder="1" applyAlignment="1" applyProtection="1">
      <alignment horizontal="center" vertical="center" wrapText="1"/>
    </xf>
    <xf numFmtId="0" fontId="6" fillId="4" borderId="49" xfId="0" applyFont="1" applyFill="1" applyBorder="1" applyAlignment="1" applyProtection="1">
      <alignment horizontal="center" vertical="center" wrapText="1"/>
    </xf>
    <xf numFmtId="49" fontId="5" fillId="0" borderId="9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10" xfId="0" applyNumberFormat="1" applyFont="1" applyFill="1" applyBorder="1" applyAlignment="1" applyProtection="1">
      <alignment horizontal="center" vertical="center" wrapText="1"/>
    </xf>
    <xf numFmtId="0" fontId="4" fillId="4" borderId="111" xfId="0" applyNumberFormat="1" applyFont="1" applyFill="1" applyBorder="1" applyAlignment="1" applyProtection="1">
      <alignment horizontal="center" vertical="center" wrapText="1"/>
    </xf>
    <xf numFmtId="0" fontId="4" fillId="4" borderId="112" xfId="0" applyNumberFormat="1" applyFont="1" applyFill="1" applyBorder="1" applyAlignment="1" applyProtection="1">
      <alignment horizontal="center" vertical="center" wrapText="1"/>
    </xf>
    <xf numFmtId="0" fontId="29" fillId="0" borderId="90" xfId="0" applyFont="1" applyBorder="1" applyAlignment="1" applyProtection="1">
      <alignment vertical="center" wrapText="1"/>
      <protection locked="0"/>
    </xf>
    <xf numFmtId="0" fontId="29" fillId="0" borderId="13" xfId="0" applyFont="1" applyBorder="1" applyAlignment="1" applyProtection="1">
      <alignment vertical="center" wrapText="1"/>
      <protection locked="0"/>
    </xf>
    <xf numFmtId="0" fontId="29" fillId="0" borderId="14" xfId="0" applyFont="1" applyBorder="1" applyAlignment="1" applyProtection="1">
      <alignment vertical="center" wrapText="1"/>
      <protection locked="0"/>
    </xf>
    <xf numFmtId="0" fontId="0" fillId="4" borderId="80" xfId="0" applyNumberFormat="1" applyFill="1" applyBorder="1" applyAlignment="1" applyProtection="1">
      <alignment horizontal="center" vertical="center" wrapText="1"/>
    </xf>
    <xf numFmtId="0" fontId="0" fillId="4" borderId="70" xfId="0" applyNumberFormat="1" applyFill="1" applyBorder="1" applyAlignment="1" applyProtection="1">
      <alignment horizontal="center" vertical="center" wrapText="1"/>
    </xf>
    <xf numFmtId="0" fontId="0" fillId="4" borderId="28" xfId="0" applyNumberForma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/>
      <protection locked="0"/>
    </xf>
    <xf numFmtId="49" fontId="2" fillId="2" borderId="17" xfId="0" applyNumberFormat="1" applyFont="1" applyFill="1" applyBorder="1" applyAlignment="1" applyProtection="1">
      <alignment horizontal="center" vertical="center" wrapText="1"/>
    </xf>
    <xf numFmtId="49" fontId="2" fillId="2" borderId="20" xfId="0" applyNumberFormat="1" applyFont="1" applyFill="1" applyBorder="1" applyAlignment="1" applyProtection="1">
      <alignment horizontal="center" vertical="center" wrapText="1"/>
    </xf>
    <xf numFmtId="0" fontId="18" fillId="10" borderId="15" xfId="0" applyFont="1" applyFill="1" applyBorder="1" applyAlignment="1" applyProtection="1">
      <alignment horizontal="center" vertical="center" wrapText="1"/>
    </xf>
    <xf numFmtId="0" fontId="18" fillId="10" borderId="25" xfId="0" applyFont="1" applyFill="1" applyBorder="1" applyAlignment="1" applyProtection="1">
      <alignment horizontal="center" vertical="center" wrapText="1"/>
    </xf>
    <xf numFmtId="49" fontId="5" fillId="0" borderId="92" xfId="0" applyNumberFormat="1" applyFont="1" applyBorder="1" applyAlignment="1" applyProtection="1">
      <alignment horizontal="center" vertical="center" wrapText="1"/>
      <protection locked="0"/>
    </xf>
    <xf numFmtId="0" fontId="18" fillId="10" borderId="24" xfId="0" applyFont="1" applyFill="1" applyBorder="1" applyAlignment="1" applyProtection="1">
      <alignment horizontal="center" vertical="center" wrapText="1"/>
    </xf>
    <xf numFmtId="0" fontId="18" fillId="10" borderId="19" xfId="0" applyFont="1" applyFill="1" applyBorder="1" applyAlignment="1" applyProtection="1">
      <alignment horizontal="center" vertical="center" wrapText="1"/>
    </xf>
    <xf numFmtId="0" fontId="18" fillId="10" borderId="3" xfId="0" applyFont="1" applyFill="1" applyBorder="1" applyAlignment="1" applyProtection="1">
      <alignment horizontal="center" vertical="center" wrapText="1"/>
    </xf>
    <xf numFmtId="0" fontId="18" fillId="10" borderId="21" xfId="0" applyFont="1" applyFill="1" applyBorder="1" applyAlignment="1" applyProtection="1">
      <alignment horizontal="center" vertical="center" wrapText="1"/>
    </xf>
    <xf numFmtId="0" fontId="2" fillId="10" borderId="15" xfId="0" applyFont="1" applyFill="1" applyBorder="1" applyAlignment="1" applyProtection="1">
      <alignment horizontal="center" vertical="center" wrapText="1"/>
    </xf>
    <xf numFmtId="0" fontId="2" fillId="10" borderId="25" xfId="0" applyFont="1" applyFill="1" applyBorder="1" applyAlignment="1" applyProtection="1">
      <alignment horizontal="center" vertical="center" wrapText="1"/>
    </xf>
    <xf numFmtId="0" fontId="2" fillId="10" borderId="20" xfId="0" applyFont="1" applyFill="1" applyBorder="1" applyAlignment="1" applyProtection="1">
      <alignment horizontal="center" vertical="center" wrapText="1"/>
    </xf>
    <xf numFmtId="0" fontId="0" fillId="4" borderId="59" xfId="0" applyNumberFormat="1" applyFill="1" applyBorder="1" applyAlignment="1" applyProtection="1">
      <alignment horizontal="center" vertical="center" wrapText="1"/>
    </xf>
    <xf numFmtId="0" fontId="0" fillId="4" borderId="61" xfId="0" applyNumberFormat="1" applyFill="1" applyBorder="1" applyAlignment="1" applyProtection="1">
      <alignment horizontal="center" vertical="center" wrapText="1"/>
    </xf>
    <xf numFmtId="49" fontId="18" fillId="10" borderId="17" xfId="0" applyNumberFormat="1" applyFont="1" applyFill="1" applyBorder="1" applyAlignment="1" applyProtection="1">
      <alignment horizontal="center" vertical="center" wrapText="1"/>
    </xf>
    <xf numFmtId="49" fontId="18" fillId="10" borderId="24" xfId="0" applyNumberFormat="1" applyFont="1" applyFill="1" applyBorder="1" applyAlignment="1" applyProtection="1">
      <alignment horizontal="center" vertical="center" wrapText="1"/>
    </xf>
    <xf numFmtId="49" fontId="18" fillId="10" borderId="19" xfId="0" applyNumberFormat="1" applyFont="1" applyFill="1" applyBorder="1" applyAlignment="1" applyProtection="1">
      <alignment horizontal="center" vertical="center" wrapText="1"/>
    </xf>
    <xf numFmtId="49" fontId="18" fillId="10" borderId="18" xfId="0" applyNumberFormat="1" applyFont="1" applyFill="1" applyBorder="1" applyAlignment="1" applyProtection="1">
      <alignment horizontal="center" vertical="center" wrapText="1"/>
    </xf>
    <xf numFmtId="49" fontId="18" fillId="10" borderId="23" xfId="0" applyNumberFormat="1" applyFont="1" applyFill="1" applyBorder="1" applyAlignment="1" applyProtection="1">
      <alignment horizontal="center" vertical="center" wrapText="1"/>
    </xf>
    <xf numFmtId="49" fontId="18" fillId="10" borderId="22" xfId="0" applyNumberFormat="1" applyFont="1" applyFill="1" applyBorder="1" applyAlignment="1" applyProtection="1">
      <alignment horizontal="center" vertical="center" wrapText="1"/>
    </xf>
    <xf numFmtId="49" fontId="18" fillId="2" borderId="17" xfId="0" applyNumberFormat="1" applyFont="1" applyFill="1" applyBorder="1" applyAlignment="1" applyProtection="1">
      <alignment horizontal="center" vertical="center" wrapText="1"/>
    </xf>
    <xf numFmtId="49" fontId="18" fillId="2" borderId="24" xfId="0" applyNumberFormat="1" applyFont="1" applyFill="1" applyBorder="1" applyAlignment="1" applyProtection="1">
      <alignment horizontal="center" vertical="center" wrapText="1"/>
    </xf>
    <xf numFmtId="49" fontId="18" fillId="2" borderId="18" xfId="0" applyNumberFormat="1" applyFont="1" applyFill="1" applyBorder="1" applyAlignment="1" applyProtection="1">
      <alignment horizontal="center" vertical="center" wrapText="1"/>
    </xf>
    <xf numFmtId="49" fontId="18" fillId="2" borderId="23" xfId="0" applyNumberFormat="1" applyFont="1" applyFill="1" applyBorder="1" applyAlignment="1" applyProtection="1">
      <alignment horizontal="center" vertical="center" wrapText="1"/>
    </xf>
    <xf numFmtId="49" fontId="18" fillId="2" borderId="19" xfId="0" applyNumberFormat="1" applyFont="1" applyFill="1" applyBorder="1" applyAlignment="1" applyProtection="1">
      <alignment horizontal="center" vertical="center" wrapText="1"/>
    </xf>
    <xf numFmtId="49" fontId="18" fillId="2" borderId="22" xfId="0" applyNumberFormat="1" applyFont="1" applyFill="1" applyBorder="1" applyAlignment="1" applyProtection="1">
      <alignment horizontal="center" vertical="center" wrapText="1"/>
    </xf>
    <xf numFmtId="49" fontId="2" fillId="2" borderId="26" xfId="0" applyNumberFormat="1" applyFont="1" applyFill="1" applyBorder="1" applyAlignment="1" applyProtection="1">
      <alignment horizontal="center" vertical="center" wrapText="1"/>
    </xf>
    <xf numFmtId="49" fontId="2" fillId="2" borderId="49" xfId="0" applyNumberFormat="1" applyFont="1" applyFill="1" applyBorder="1" applyAlignment="1" applyProtection="1">
      <alignment horizontal="center" vertical="center" wrapText="1"/>
    </xf>
    <xf numFmtId="49" fontId="2" fillId="2" borderId="27" xfId="0" applyNumberFormat="1" applyFont="1" applyFill="1" applyBorder="1" applyAlignment="1" applyProtection="1">
      <alignment horizontal="center" vertical="center" wrapText="1"/>
    </xf>
    <xf numFmtId="0" fontId="0" fillId="4" borderId="60" xfId="0" applyNumberFormat="1" applyFill="1" applyBorder="1" applyAlignment="1" applyProtection="1">
      <alignment horizontal="center" vertical="center" wrapText="1"/>
    </xf>
    <xf numFmtId="0" fontId="0" fillId="4" borderId="12" xfId="0" applyNumberFormat="1" applyFill="1" applyBorder="1" applyAlignment="1" applyProtection="1">
      <alignment horizontal="center" vertical="center" wrapText="1"/>
    </xf>
    <xf numFmtId="49" fontId="5" fillId="0" borderId="6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57" xfId="0" applyNumberFormat="1" applyFont="1" applyFill="1" applyBorder="1" applyAlignment="1" applyProtection="1">
      <alignment horizontal="center" vertical="center" wrapText="1"/>
      <protection locked="0"/>
    </xf>
    <xf numFmtId="49" fontId="14" fillId="6" borderId="21" xfId="0" applyNumberFormat="1" applyFont="1" applyFill="1" applyBorder="1" applyAlignment="1" applyProtection="1">
      <alignment horizontal="center" vertical="center"/>
    </xf>
    <xf numFmtId="0" fontId="0" fillId="4" borderId="65" xfId="0" applyNumberFormat="1" applyFill="1" applyBorder="1" applyAlignment="1" applyProtection="1">
      <alignment horizontal="center" vertical="center" wrapText="1"/>
    </xf>
    <xf numFmtId="0" fontId="35" fillId="0" borderId="17" xfId="0" applyNumberFormat="1" applyFont="1" applyBorder="1" applyAlignment="1">
      <alignment horizontal="center" vertical="center" wrapText="1"/>
    </xf>
    <xf numFmtId="0" fontId="35" fillId="0" borderId="24" xfId="0" applyNumberFormat="1" applyFont="1" applyBorder="1" applyAlignment="1">
      <alignment horizontal="center" vertical="center" wrapText="1"/>
    </xf>
    <xf numFmtId="0" fontId="35" fillId="0" borderId="19" xfId="0" applyNumberFormat="1" applyFont="1" applyBorder="1" applyAlignment="1">
      <alignment horizontal="center" vertical="center" wrapText="1"/>
    </xf>
    <xf numFmtId="0" fontId="35" fillId="0" borderId="20" xfId="0" applyNumberFormat="1" applyFont="1" applyBorder="1" applyAlignment="1">
      <alignment horizontal="center" vertical="center" wrapText="1"/>
    </xf>
    <xf numFmtId="0" fontId="35" fillId="0" borderId="3" xfId="0" applyNumberFormat="1" applyFont="1" applyBorder="1" applyAlignment="1">
      <alignment horizontal="center" vertical="center" wrapText="1"/>
    </xf>
    <xf numFmtId="0" fontId="35" fillId="0" borderId="21" xfId="0" applyNumberFormat="1" applyFont="1" applyBorder="1" applyAlignment="1">
      <alignment horizontal="center" vertical="center" wrapText="1"/>
    </xf>
    <xf numFmtId="0" fontId="35" fillId="0" borderId="18" xfId="0" applyNumberFormat="1" applyFont="1" applyBorder="1" applyAlignment="1">
      <alignment horizontal="center" vertical="center" wrapText="1"/>
    </xf>
    <xf numFmtId="0" fontId="35" fillId="0" borderId="23" xfId="0" applyNumberFormat="1" applyFont="1" applyBorder="1" applyAlignment="1">
      <alignment horizontal="center" vertical="center" wrapText="1"/>
    </xf>
    <xf numFmtId="0" fontId="35" fillId="0" borderId="22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 applyProtection="1">
      <alignment horizontal="center" vertical="center" wrapText="1"/>
    </xf>
    <xf numFmtId="49" fontId="2" fillId="2" borderId="16" xfId="0" applyNumberFormat="1" applyFont="1" applyFill="1" applyBorder="1" applyAlignment="1" applyProtection="1">
      <alignment horizontal="center" vertical="center" wrapText="1"/>
    </xf>
    <xf numFmtId="0" fontId="0" fillId="4" borderId="66" xfId="0" applyNumberFormat="1" applyFill="1" applyBorder="1" applyAlignment="1" applyProtection="1">
      <alignment horizontal="center" vertical="center" wrapText="1"/>
    </xf>
    <xf numFmtId="49" fontId="2" fillId="2" borderId="18" xfId="0" applyNumberFormat="1" applyFont="1" applyFill="1" applyBorder="1" applyAlignment="1" applyProtection="1">
      <alignment horizontal="center" vertical="center" wrapText="1"/>
    </xf>
    <xf numFmtId="0" fontId="18" fillId="10" borderId="16" xfId="0" applyFont="1" applyFill="1" applyBorder="1" applyAlignment="1" applyProtection="1">
      <alignment horizontal="center" vertical="center" wrapText="1"/>
    </xf>
    <xf numFmtId="0" fontId="18" fillId="10" borderId="23" xfId="0" applyFont="1" applyFill="1" applyBorder="1" applyAlignment="1" applyProtection="1">
      <alignment horizontal="center" vertical="center" wrapText="1"/>
    </xf>
    <xf numFmtId="0" fontId="18" fillId="10" borderId="22" xfId="0" applyFont="1" applyFill="1" applyBorder="1" applyAlignment="1" applyProtection="1">
      <alignment horizontal="center" vertical="center" wrapText="1"/>
    </xf>
    <xf numFmtId="0" fontId="2" fillId="10" borderId="18" xfId="0" applyFont="1" applyFill="1" applyBorder="1" applyAlignment="1" applyProtection="1">
      <alignment horizontal="center" vertical="center" wrapText="1"/>
    </xf>
    <xf numFmtId="49" fontId="5" fillId="4" borderId="99" xfId="0" applyNumberFormat="1" applyFont="1" applyFill="1" applyBorder="1" applyAlignment="1" applyProtection="1">
      <alignment horizontal="center" vertical="center" wrapText="1"/>
    </xf>
    <xf numFmtId="49" fontId="5" fillId="4" borderId="61" xfId="0" applyNumberFormat="1" applyFont="1" applyFill="1" applyBorder="1" applyAlignment="1" applyProtection="1">
      <alignment horizontal="center" vertical="center" wrapText="1"/>
    </xf>
    <xf numFmtId="49" fontId="5" fillId="0" borderId="34" xfId="0" applyNumberFormat="1" applyFont="1" applyBorder="1" applyAlignment="1" applyProtection="1">
      <alignment horizontal="center" vertical="center" wrapText="1"/>
      <protection locked="0"/>
    </xf>
    <xf numFmtId="0" fontId="0" fillId="4" borderId="11" xfId="0" applyNumberFormat="1" applyFill="1" applyBorder="1" applyAlignment="1" applyProtection="1">
      <alignment horizontal="center" vertical="center" wrapText="1"/>
    </xf>
    <xf numFmtId="49" fontId="5" fillId="0" borderId="29" xfId="0" applyNumberFormat="1" applyFont="1" applyBorder="1" applyAlignment="1" applyProtection="1">
      <alignment horizontal="center" vertical="center" wrapText="1"/>
      <protection locked="0"/>
    </xf>
    <xf numFmtId="49" fontId="5" fillId="0" borderId="36" xfId="0" applyNumberFormat="1" applyFont="1" applyBorder="1" applyAlignment="1" applyProtection="1">
      <alignment horizontal="center" vertical="center" wrapText="1"/>
      <protection locked="0"/>
    </xf>
    <xf numFmtId="0" fontId="0" fillId="4" borderId="13" xfId="0" applyNumberFormat="1" applyFill="1" applyBorder="1" applyAlignment="1" applyProtection="1">
      <alignment horizontal="center" vertical="center" wrapText="1"/>
    </xf>
    <xf numFmtId="0" fontId="0" fillId="4" borderId="56" xfId="0" applyNumberFormat="1" applyFill="1" applyBorder="1" applyAlignment="1" applyProtection="1">
      <alignment horizontal="center" vertical="center" wrapText="1"/>
    </xf>
    <xf numFmtId="0" fontId="0" fillId="4" borderId="84" xfId="0" applyNumberFormat="1" applyFill="1" applyBorder="1" applyAlignment="1" applyProtection="1">
      <alignment horizontal="center" vertical="center" wrapText="1"/>
    </xf>
    <xf numFmtId="49" fontId="5" fillId="0" borderId="35" xfId="0" applyNumberFormat="1" applyFont="1" applyBorder="1" applyAlignment="1" applyProtection="1">
      <alignment horizontal="center" vertical="center" wrapText="1"/>
      <protection locked="0"/>
    </xf>
    <xf numFmtId="49" fontId="5" fillId="0" borderId="30" xfId="0" applyNumberFormat="1" applyFont="1" applyBorder="1" applyAlignment="1" applyProtection="1">
      <alignment horizontal="center" vertical="center" wrapText="1"/>
      <protection locked="0"/>
    </xf>
    <xf numFmtId="49" fontId="5" fillId="0" borderId="37" xfId="0" applyNumberFormat="1" applyFont="1" applyBorder="1" applyAlignment="1" applyProtection="1">
      <alignment horizontal="center" vertical="center" wrapText="1"/>
      <protection locked="0"/>
    </xf>
    <xf numFmtId="0" fontId="0" fillId="4" borderId="14" xfId="0" applyNumberFormat="1" applyFill="1" applyBorder="1" applyAlignment="1" applyProtection="1">
      <alignment horizontal="center" vertical="center" wrapText="1"/>
    </xf>
    <xf numFmtId="0" fontId="0" fillId="4" borderId="57" xfId="0" applyNumberFormat="1" applyFill="1" applyBorder="1" applyAlignment="1" applyProtection="1">
      <alignment horizontal="center" vertical="center" wrapText="1"/>
    </xf>
    <xf numFmtId="0" fontId="0" fillId="4" borderId="85" xfId="0" applyNumberFormat="1" applyFill="1" applyBorder="1" applyAlignment="1" applyProtection="1">
      <alignment horizontal="center" vertical="center" wrapText="1"/>
    </xf>
    <xf numFmtId="0" fontId="29" fillId="13" borderId="18" xfId="0" applyNumberFormat="1" applyFont="1" applyFill="1" applyBorder="1" applyAlignment="1">
      <alignment horizontal="center" vertical="top" wrapText="1"/>
    </xf>
    <xf numFmtId="0" fontId="29" fillId="13" borderId="23" xfId="0" applyNumberFormat="1" applyFont="1" applyFill="1" applyBorder="1" applyAlignment="1">
      <alignment horizontal="center" vertical="top" wrapText="1"/>
    </xf>
    <xf numFmtId="0" fontId="29" fillId="13" borderId="22" xfId="0" applyNumberFormat="1" applyFont="1" applyFill="1" applyBorder="1" applyAlignment="1">
      <alignment horizontal="center" vertical="top" wrapText="1"/>
    </xf>
    <xf numFmtId="0" fontId="29" fillId="0" borderId="3" xfId="0" applyNumberFormat="1" applyFont="1" applyBorder="1" applyAlignment="1">
      <alignment horizontal="center" vertical="center" wrapText="1"/>
    </xf>
    <xf numFmtId="0" fontId="29" fillId="0" borderId="23" xfId="0" applyNumberFormat="1" applyFont="1" applyBorder="1" applyAlignment="1">
      <alignment horizontal="center" vertical="center" wrapText="1"/>
    </xf>
    <xf numFmtId="0" fontId="29" fillId="0" borderId="17" xfId="0" applyNumberFormat="1" applyFont="1" applyBorder="1" applyAlignment="1">
      <alignment horizontal="center" vertical="center" wrapText="1"/>
    </xf>
    <xf numFmtId="0" fontId="29" fillId="0" borderId="24" xfId="0" applyNumberFormat="1" applyFont="1" applyBorder="1" applyAlignment="1">
      <alignment horizontal="center" vertical="center" wrapText="1"/>
    </xf>
    <xf numFmtId="0" fontId="29" fillId="0" borderId="26" xfId="0" applyNumberFormat="1" applyFont="1" applyBorder="1" applyAlignment="1">
      <alignment horizontal="center" vertical="center" wrapText="1"/>
    </xf>
    <xf numFmtId="0" fontId="29" fillId="0" borderId="49" xfId="0" applyNumberFormat="1" applyFont="1" applyBorder="1" applyAlignment="1">
      <alignment horizontal="center" vertical="center" wrapText="1"/>
    </xf>
    <xf numFmtId="0" fontId="29" fillId="0" borderId="27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50" xfId="0" applyNumberFormat="1" applyFont="1" applyFill="1" applyBorder="1" applyAlignment="1">
      <alignment horizontal="center" vertical="center"/>
    </xf>
    <xf numFmtId="49" fontId="25" fillId="2" borderId="51" xfId="0" applyNumberFormat="1" applyFont="1" applyFill="1" applyBorder="1" applyAlignment="1">
      <alignment horizontal="center" vertical="center"/>
    </xf>
    <xf numFmtId="0" fontId="12" fillId="15" borderId="26" xfId="0" applyFont="1" applyFill="1" applyBorder="1" applyAlignment="1">
      <alignment horizontal="center" vertical="center"/>
    </xf>
    <xf numFmtId="0" fontId="12" fillId="15" borderId="49" xfId="0" applyFont="1" applyFill="1" applyBorder="1" applyAlignment="1">
      <alignment horizontal="center" vertical="center"/>
    </xf>
    <xf numFmtId="0" fontId="12" fillId="15" borderId="27" xfId="0" applyFont="1" applyFill="1" applyBorder="1" applyAlignment="1">
      <alignment horizontal="center" vertical="center"/>
    </xf>
    <xf numFmtId="0" fontId="4" fillId="4" borderId="113" xfId="0" applyNumberFormat="1" applyFont="1" applyFill="1" applyBorder="1" applyAlignment="1" applyProtection="1">
      <alignment horizontal="center" vertical="center" wrapText="1"/>
    </xf>
    <xf numFmtId="0" fontId="0" fillId="4" borderId="97" xfId="0" applyFill="1" applyBorder="1" applyAlignment="1" applyProtection="1">
      <alignment vertical="center" wrapText="1"/>
    </xf>
    <xf numFmtId="0" fontId="29" fillId="0" borderId="114" xfId="0" applyFont="1" applyBorder="1" applyAlignment="1" applyProtection="1">
      <alignment vertical="center" wrapText="1"/>
      <protection locked="0"/>
    </xf>
    <xf numFmtId="0" fontId="0" fillId="0" borderId="94" xfId="0" applyBorder="1" applyAlignment="1" applyProtection="1">
      <alignment vertical="center" wrapText="1"/>
      <protection locked="0"/>
    </xf>
    <xf numFmtId="0" fontId="0" fillId="0" borderId="95" xfId="0" applyBorder="1" applyAlignment="1" applyProtection="1">
      <alignment vertical="center" wrapText="1"/>
      <protection locked="0"/>
    </xf>
    <xf numFmtId="0" fontId="27" fillId="4" borderId="49" xfId="0" applyNumberFormat="1" applyFont="1" applyFill="1" applyBorder="1" applyAlignment="1" applyProtection="1">
      <alignment horizontal="center" vertical="center"/>
    </xf>
    <xf numFmtId="0" fontId="0" fillId="0" borderId="19" xfId="0" applyNumberFormat="1" applyBorder="1" applyAlignment="1" applyProtection="1">
      <alignment vertical="center" wrapText="1"/>
    </xf>
    <xf numFmtId="0" fontId="0" fillId="0" borderId="3" xfId="0" applyBorder="1" applyProtection="1">
      <alignment vertical="top" wrapText="1"/>
    </xf>
    <xf numFmtId="49" fontId="14" fillId="5" borderId="96" xfId="0" applyNumberFormat="1" applyFont="1" applyFill="1" applyBorder="1" applyAlignment="1" applyProtection="1">
      <alignment horizontal="center" vertical="center"/>
    </xf>
    <xf numFmtId="49" fontId="14" fillId="5" borderId="97" xfId="0" applyNumberFormat="1" applyFont="1" applyFill="1" applyBorder="1" applyAlignment="1" applyProtection="1">
      <alignment horizontal="center" vertical="center"/>
    </xf>
    <xf numFmtId="49" fontId="17" fillId="12" borderId="63" xfId="0" applyNumberFormat="1" applyFont="1" applyFill="1" applyBorder="1" applyAlignment="1" applyProtection="1">
      <alignment horizontal="center" vertical="center"/>
    </xf>
    <xf numFmtId="49" fontId="17" fillId="12" borderId="66" xfId="0" applyNumberFormat="1" applyFont="1" applyFill="1" applyBorder="1" applyAlignment="1" applyProtection="1">
      <alignment horizontal="center" vertical="center"/>
    </xf>
    <xf numFmtId="49" fontId="14" fillId="6" borderId="59" xfId="0" applyNumberFormat="1" applyFont="1" applyFill="1" applyBorder="1" applyAlignment="1" applyProtection="1">
      <alignment horizontal="center" vertical="center"/>
    </xf>
    <xf numFmtId="49" fontId="14" fillId="6" borderId="60" xfId="0" applyNumberFormat="1" applyFont="1" applyFill="1" applyBorder="1" applyAlignment="1" applyProtection="1">
      <alignment horizontal="center" vertical="center"/>
    </xf>
    <xf numFmtId="49" fontId="14" fillId="5" borderId="26" xfId="0" applyNumberFormat="1" applyFont="1" applyFill="1" applyBorder="1" applyAlignment="1" applyProtection="1">
      <alignment horizontal="center" vertical="center"/>
    </xf>
    <xf numFmtId="49" fontId="14" fillId="5" borderId="27" xfId="0" applyNumberFormat="1" applyFont="1" applyFill="1" applyBorder="1" applyAlignment="1" applyProtection="1">
      <alignment horizontal="center" vertical="center"/>
    </xf>
    <xf numFmtId="49" fontId="17" fillId="12" borderId="26" xfId="0" applyNumberFormat="1" applyFont="1" applyFill="1" applyBorder="1" applyAlignment="1" applyProtection="1">
      <alignment horizontal="center" vertical="center"/>
    </xf>
    <xf numFmtId="49" fontId="17" fillId="12" borderId="27" xfId="0" applyNumberFormat="1" applyFont="1" applyFill="1" applyBorder="1" applyAlignment="1" applyProtection="1">
      <alignment horizontal="center" vertical="center"/>
    </xf>
    <xf numFmtId="49" fontId="14" fillId="6" borderId="20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55">
    <dxf>
      <font>
        <b/>
        <i val="0"/>
        <color rgb="FFFFC000"/>
      </font>
      <fill>
        <patternFill>
          <bgColor theme="6" tint="0.79998168889431442"/>
        </patternFill>
      </fill>
    </dxf>
    <dxf>
      <font>
        <b/>
        <i val="0"/>
        <strike val="0"/>
        <color rgb="FFFF9300"/>
      </font>
      <fill>
        <patternFill>
          <bgColor theme="0" tint="-0.49998474074526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499984740745262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auto="1"/>
      </font>
      <fill>
        <patternFill>
          <bgColor theme="6" tint="0.79998168889431442"/>
        </patternFill>
      </fill>
    </dxf>
    <dxf>
      <font>
        <b/>
        <i val="0"/>
        <strike val="0"/>
        <color theme="0"/>
      </font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b/>
        <i val="0"/>
        <color theme="4" tint="-0.24994659260841701"/>
      </font>
      <fill>
        <patternFill>
          <bgColor theme="6" tint="0.79998168889431442"/>
        </patternFill>
      </fill>
    </dxf>
    <dxf>
      <font>
        <b/>
        <i val="0"/>
        <strike val="0"/>
        <color theme="4" tint="-0.499984740745262"/>
      </font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b/>
        <i val="0"/>
        <color rgb="FFC00000"/>
      </font>
      <fill>
        <patternFill>
          <bgColor theme="6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auto="1"/>
      </font>
      <fill>
        <patternFill>
          <bgColor theme="0" tint="-0.49998474074526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79998168889431442"/>
        </patternFill>
      </fill>
    </dxf>
    <dxf>
      <font>
        <strike val="0"/>
      </font>
      <fill>
        <patternFill>
          <bgColor rgb="FFFFC000"/>
        </patternFill>
      </fill>
    </dxf>
    <dxf>
      <fill>
        <patternFill>
          <bgColor theme="0" tint="-0.499984740745262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0000"/>
      </font>
      <fill>
        <patternFill patternType="solid">
          <fgColor indexed="16"/>
          <bgColor indexed="17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0F1BFF"/>
      <rgbColor rgb="FFBDC0BF"/>
      <rgbColor rgb="FFA5A5A5"/>
      <rgbColor rgb="FF020201"/>
      <rgbColor rgb="FF0432FF"/>
      <rgbColor rgb="FFFEFE9F"/>
      <rgbColor rgb="FF3F3F3F"/>
      <rgbColor rgb="00000000"/>
      <rgbColor rgb="E5FF9781"/>
      <rgbColor rgb="FFDBDBDB"/>
      <rgbColor rgb="FFA6A6A6"/>
      <rgbColor rgb="FFFCF305"/>
      <rgbColor rgb="FFFDFDC7"/>
      <rgbColor rgb="FFD7FDD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41100"/>
      <color rgb="FFFF9300"/>
      <color rgb="FF945200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100330</xdr:colOff>
      <xdr:row>35</xdr:row>
      <xdr:rowOff>171001</xdr:rowOff>
    </xdr:from>
    <xdr:to>
      <xdr:col>24</xdr:col>
      <xdr:colOff>126314</xdr:colOff>
      <xdr:row>38</xdr:row>
      <xdr:rowOff>105036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6C46442-AFE8-4849-B3CC-0FE4FB3DD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14630" y="9530901"/>
          <a:ext cx="660984" cy="696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10523</xdr:colOff>
      <xdr:row>29</xdr:row>
      <xdr:rowOff>108599</xdr:rowOff>
    </xdr:from>
    <xdr:to>
      <xdr:col>19</xdr:col>
      <xdr:colOff>249931</xdr:colOff>
      <xdr:row>40</xdr:row>
      <xdr:rowOff>84811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601515F-B78E-8794-B13A-AC2229297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7403" y="7789559"/>
          <a:ext cx="3875348" cy="3034372"/>
        </a:xfrm>
        <a:prstGeom prst="rect">
          <a:avLst/>
        </a:prstGeom>
      </xdr:spPr>
    </xdr:pic>
    <xdr:clientData/>
  </xdr:twoCellAnchor>
  <xdr:twoCellAnchor editAs="oneCell">
    <xdr:from>
      <xdr:col>25</xdr:col>
      <xdr:colOff>351194</xdr:colOff>
      <xdr:row>35</xdr:row>
      <xdr:rowOff>249396</xdr:rowOff>
    </xdr:from>
    <xdr:to>
      <xdr:col>27</xdr:col>
      <xdr:colOff>283104</xdr:colOff>
      <xdr:row>38</xdr:row>
      <xdr:rowOff>183431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4178390-21FD-F240-9E27-F087EF5F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99589" y="9515692"/>
          <a:ext cx="653145" cy="686628"/>
        </a:xfrm>
        <a:prstGeom prst="rect">
          <a:avLst/>
        </a:prstGeom>
      </xdr:spPr>
    </xdr:pic>
    <xdr:clientData/>
  </xdr:twoCellAnchor>
  <xdr:twoCellAnchor editAs="oneCell">
    <xdr:from>
      <xdr:col>20</xdr:col>
      <xdr:colOff>42615</xdr:colOff>
      <xdr:row>34</xdr:row>
      <xdr:rowOff>94075</xdr:rowOff>
    </xdr:from>
    <xdr:to>
      <xdr:col>24</xdr:col>
      <xdr:colOff>15679</xdr:colOff>
      <xdr:row>40</xdr:row>
      <xdr:rowOff>32570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4215595-2F03-9A85-9B3A-72748ECE5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62492" y="9109507"/>
          <a:ext cx="1540965" cy="15377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3DB1B-D495-7542-9803-E00C1897E12F}">
  <sheetPr>
    <tabColor rgb="FFFF7E79"/>
    <pageSetUpPr fitToPage="1"/>
  </sheetPr>
  <dimension ref="A1:HD43"/>
  <sheetViews>
    <sheetView showGridLines="0" zoomScale="125" zoomScaleNormal="125" workbookViewId="0">
      <pane xSplit="1" ySplit="4" topLeftCell="B5" activePane="bottomRight" state="frozen"/>
      <selection pane="topRight"/>
      <selection pane="bottomLeft"/>
      <selection pane="bottomRight" activeCell="I6" sqref="I6:I29"/>
    </sheetView>
  </sheetViews>
  <sheetFormatPr baseColWidth="10" defaultColWidth="16.33203125" defaultRowHeight="20" customHeight="1"/>
  <cols>
    <col min="1" max="1" width="13.5" style="65" bestFit="1" customWidth="1"/>
    <col min="2" max="2" width="35.33203125" style="65" customWidth="1"/>
    <col min="3" max="3" width="8.83203125" style="65" bestFit="1" customWidth="1"/>
    <col min="4" max="4" width="7" style="121" bestFit="1" customWidth="1"/>
    <col min="5" max="5" width="8.83203125" style="121" bestFit="1" customWidth="1"/>
    <col min="6" max="8" width="7.6640625" style="65" bestFit="1" customWidth="1"/>
    <col min="9" max="9" width="6.33203125" style="65" bestFit="1" customWidth="1"/>
    <col min="10" max="10" width="2.6640625" style="65" customWidth="1"/>
    <col min="11" max="12" width="5.5" style="65" bestFit="1" customWidth="1"/>
    <col min="13" max="13" width="5.5" style="65" customWidth="1"/>
    <col min="14" max="14" width="4.5" style="65" bestFit="1" customWidth="1"/>
    <col min="15" max="15" width="4.5" style="65" customWidth="1"/>
    <col min="16" max="16" width="5" style="65" bestFit="1" customWidth="1"/>
    <col min="17" max="17" width="5" style="65" customWidth="1"/>
    <col min="18" max="18" width="5.5" style="65" bestFit="1" customWidth="1"/>
    <col min="19" max="20" width="5.6640625" style="65" bestFit="1" customWidth="1"/>
    <col min="21" max="21" width="4.83203125" style="65" bestFit="1" customWidth="1"/>
    <col min="22" max="22" width="5.5" style="65" bestFit="1" customWidth="1"/>
    <col min="23" max="23" width="4.1640625" style="65" bestFit="1" customWidth="1"/>
    <col min="24" max="24" width="4.1640625" style="64" bestFit="1" customWidth="1"/>
    <col min="25" max="27" width="4.83203125" style="64" bestFit="1" customWidth="1"/>
    <col min="28" max="28" width="9.5" style="64" bestFit="1" customWidth="1"/>
    <col min="29" max="31" width="3.1640625" style="64" bestFit="1" customWidth="1"/>
    <col min="32" max="212" width="16.33203125" style="64"/>
    <col min="213" max="16384" width="16.33203125" style="65"/>
  </cols>
  <sheetData>
    <row r="1" spans="1:31" ht="27.75" customHeight="1" thickBot="1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31" ht="27.75" customHeight="1" thickBot="1">
      <c r="A2" s="222" t="s">
        <v>4</v>
      </c>
      <c r="B2" s="224" t="s">
        <v>18</v>
      </c>
      <c r="C2" s="227" t="s">
        <v>17</v>
      </c>
      <c r="D2" s="228"/>
      <c r="E2" s="231" t="s">
        <v>31</v>
      </c>
      <c r="F2" s="236" t="s">
        <v>14</v>
      </c>
      <c r="G2" s="237"/>
      <c r="H2" s="237"/>
      <c r="I2" s="238"/>
      <c r="J2" s="66"/>
      <c r="K2" s="248" t="s">
        <v>32</v>
      </c>
      <c r="L2" s="249"/>
      <c r="M2" s="249"/>
      <c r="N2" s="249"/>
      <c r="O2" s="249"/>
      <c r="P2" s="249"/>
      <c r="Q2" s="250"/>
      <c r="R2" s="242" t="s">
        <v>20</v>
      </c>
      <c r="S2" s="243"/>
      <c r="T2" s="243"/>
      <c r="U2" s="246"/>
      <c r="V2" s="242" t="s">
        <v>19</v>
      </c>
      <c r="W2" s="243"/>
      <c r="X2" s="243"/>
      <c r="Y2" s="243"/>
      <c r="Z2" s="243"/>
      <c r="AA2" s="243"/>
      <c r="AB2" s="267" t="s">
        <v>52</v>
      </c>
    </row>
    <row r="3" spans="1:31" ht="32.75" customHeight="1" thickBot="1">
      <c r="A3" s="223"/>
      <c r="B3" s="225"/>
      <c r="C3" s="229"/>
      <c r="D3" s="230"/>
      <c r="E3" s="232"/>
      <c r="F3" s="239"/>
      <c r="G3" s="240"/>
      <c r="H3" s="240"/>
      <c r="I3" s="241"/>
      <c r="J3" s="66"/>
      <c r="K3" s="67" t="s">
        <v>1</v>
      </c>
      <c r="L3" s="68" t="s">
        <v>1</v>
      </c>
      <c r="M3" s="69" t="s">
        <v>2</v>
      </c>
      <c r="N3" s="70" t="s">
        <v>2</v>
      </c>
      <c r="O3" s="71" t="s">
        <v>3</v>
      </c>
      <c r="P3" s="72" t="s">
        <v>3</v>
      </c>
      <c r="Q3" s="73" t="s">
        <v>43</v>
      </c>
      <c r="R3" s="244"/>
      <c r="S3" s="245"/>
      <c r="T3" s="245"/>
      <c r="U3" s="247"/>
      <c r="V3" s="244"/>
      <c r="W3" s="245"/>
      <c r="X3" s="245"/>
      <c r="Y3" s="245"/>
      <c r="Z3" s="245"/>
      <c r="AA3" s="245"/>
      <c r="AB3" s="268"/>
    </row>
    <row r="4" spans="1:31" ht="19.75" customHeight="1" thickBot="1">
      <c r="A4" s="270"/>
      <c r="B4" s="271"/>
      <c r="C4" s="272"/>
      <c r="D4" s="273"/>
      <c r="E4" s="274"/>
      <c r="F4" s="74" t="s">
        <v>1</v>
      </c>
      <c r="G4" s="75" t="s">
        <v>2</v>
      </c>
      <c r="H4" s="76" t="s">
        <v>3</v>
      </c>
      <c r="I4" s="77" t="s">
        <v>43</v>
      </c>
      <c r="J4" s="78"/>
      <c r="K4" s="79" t="s">
        <v>5</v>
      </c>
      <c r="L4" s="80" t="s">
        <v>6</v>
      </c>
      <c r="M4" s="79" t="s">
        <v>5</v>
      </c>
      <c r="N4" s="81" t="s">
        <v>6</v>
      </c>
      <c r="O4" s="82" t="s">
        <v>5</v>
      </c>
      <c r="P4" s="81" t="s">
        <v>6</v>
      </c>
      <c r="Q4" s="81" t="s">
        <v>6</v>
      </c>
      <c r="R4" s="67" t="s">
        <v>1</v>
      </c>
      <c r="S4" s="83" t="s">
        <v>2</v>
      </c>
      <c r="T4" s="72" t="s">
        <v>3</v>
      </c>
      <c r="U4" s="73" t="s">
        <v>43</v>
      </c>
      <c r="V4" s="84" t="s">
        <v>1</v>
      </c>
      <c r="W4" s="85" t="s">
        <v>2</v>
      </c>
      <c r="X4" s="86" t="s">
        <v>2</v>
      </c>
      <c r="Y4" s="87" t="s">
        <v>3</v>
      </c>
      <c r="Z4" s="88" t="s">
        <v>3</v>
      </c>
      <c r="AA4" s="89" t="s">
        <v>43</v>
      </c>
      <c r="AB4" s="90" t="s">
        <v>43</v>
      </c>
    </row>
    <row r="5" spans="1:31" ht="19.75" customHeight="1" thickBot="1">
      <c r="A5" s="162" t="s">
        <v>21</v>
      </c>
      <c r="B5" s="308" t="s">
        <v>7</v>
      </c>
      <c r="C5" s="275" t="s">
        <v>28</v>
      </c>
      <c r="D5" s="276"/>
      <c r="E5" s="178" t="s">
        <v>23</v>
      </c>
      <c r="F5" s="179">
        <v>35</v>
      </c>
      <c r="G5" s="180">
        <v>30</v>
      </c>
      <c r="H5" s="181">
        <v>25</v>
      </c>
      <c r="I5" s="163">
        <v>15</v>
      </c>
      <c r="J5" s="91"/>
      <c r="K5" s="92">
        <f>IF($E5=0," ",IF($E5=$D$31,VLOOKUP($C5,'Valeurs Règlement Campagne'!$A$4:$T$7,12,FALSE),VLOOKUP($C5,'Valeurs Règlement Campagne'!$A$4:$I$7,4,FALSE)))</f>
        <v>20</v>
      </c>
      <c r="L5" s="93">
        <f>IF($E5=0," ",IF($E5=$D$31,VLOOKUP($C5,'Valeurs Règlement Campagne'!$A$4:$T$7,14,FALSE),VLOOKUP($C5,'Valeurs Règlement Campagne'!$A$4:$L$7,5,FALSE)))</f>
        <v>35</v>
      </c>
      <c r="M5" s="92">
        <f>IF($E5=0," ",IF($E5=$D$31,VLOOKUP($C5,'Valeurs Règlement Campagne'!$A$4:$T$7,15,FALSE),VLOOKUP($C5,'Valeurs Règlement Campagne'!$A$4:$M$7,6,FALSE)))</f>
        <v>15</v>
      </c>
      <c r="N5" s="94">
        <f>IF($E5=0," ",IF($E5=$D$31,VLOOKUP($C5,'Valeurs Règlement Campagne'!$A$4:$T$7,17,FALSE),VLOOKUP($C5,'Valeurs Règlement Campagne'!$A$4:$N$7,7,FALSE)))</f>
        <v>30</v>
      </c>
      <c r="O5" s="95">
        <f>IF($E5=0," ",IF($E5=$D$31,VLOOKUP($C5,'Valeurs Règlement Campagne'!$A$4:$T$7,18,FALSE),VLOOKUP($C5,'Valeurs Règlement Campagne'!$A$4:$O$7,8,FALSE)))</f>
        <v>15</v>
      </c>
      <c r="P5" s="94">
        <f>IF($E5=0," ",IF($E5=$D$31,VLOOKUP($C5,'Valeurs Règlement Campagne'!$A$4:$T$7,20,FALSE),VLOOKUP($C5,'Valeurs Règlement Campagne'!$A$4:$P$7,9,FALSE)))</f>
        <v>25</v>
      </c>
      <c r="Q5" s="96">
        <f t="shared" ref="Q5:Q29" si="0">IF(LEFT(C5,1)="4","",IF(AND(C5="1 cible de 80 cm",OR(E5="Inconnues",E5="Connues")),30,P5))</f>
        <v>25</v>
      </c>
      <c r="R5" s="97" t="b" cm="1">
        <f t="array" ref="R5">IF(AND(E5="Connues",AC5&lt;&gt;"",
COUNTIFS(AC$6:AC$29,AC5,C$6:C$29,C5)&gt;1),
"Doublon",
IF(
AND(E5="Connues",
SUMPRODUCT(
(E$6:E$29="Connues")*
(C$6:C$29=C5)*
(ROW($6:$29)&lt;&gt;ROW())*
(ABS(F$6:F$29-F5)&lt;=2)*
(
(ABS(F$6:F$29-VLOOKUP(C5,'Valeurs Règlement Campagne'!$A$4:$T$7,12,FALSE))&lt;=2)+
(ABS(F$6:F$29-VLOOKUP(C5,'Valeurs Règlement Campagne'!$A$4:$T$7,13,FALSE))&lt;=2)+
(ABS(F$6:F$29-VLOOKUP(C5,'Valeurs Règlement Campagne'!$A$4:$T$7,14,FALSE))&lt;=2)
)
)&gt;0
),
"Doublon",
IF(
$C5=0,
" ",
IF(
F5=0,
" ",
IF(
'Valeurs Règlement Campagne'!$L$14="OUI",
AND(F5&gt;=K5-2,F5&lt;=L5+2),
OR(F5=K5,F5=K5+5,F5=L5)
)
)
)
))</f>
        <v>1</v>
      </c>
      <c r="S5" s="97" t="b" cm="1">
        <f t="array" ref="S5">IF(AND(E5="Connues",AD5&lt;&gt;"",
COUNTIFS(AD$6:AD$29,AD5,C$6:C$29,C5)&gt;1),
"Doublon",
IF(
AND(E5="Connues",
SUMPRODUCT(
(E$6:E$29="Connues")*
(C$6:C$29=C5)*
(ROW($6:$29)&lt;&gt;ROW())*
(ABS(G$6:G$29-G5)&lt;=2)*
(
(ABS(G$6:G$29-VLOOKUP(C5,'Valeurs Règlement Campagne'!$A$4:$T$7,12,FALSE))&lt;=2)+
(ABS(F$6:F$29-VLOOKUP(C5,'Valeurs Règlement Campagne'!$A$4:$T$7,13,FALSE))&lt;=2)+
(ABS(F$6:F$29-VLOOKUP(C5,'Valeurs Règlement Campagne'!$A$4:$T$7,14,FALSE))&lt;=2)
)
)&gt;0
),
"Doublon",
IF(
$C5=0,
" ",
IF(
G5=0,
" ",
IF($C5=0," ",IF(G5=0," ",IF('Valeurs Règlement Campagne'!$L$14="OUI",AND(G5&gt;=M5-2,G5&lt;=N5+2),OR(G5=M5,G5=M5+5,G5=N5))))))))</f>
        <v>1</v>
      </c>
      <c r="T5" s="97" t="b" cm="1">
        <f t="array" ref="T5">IF(AND(E5="Connues",AE5&lt;&gt;"",
COUNTIFS(AE$6:AE$29,AE5,C$6:C$29,C5)&gt;1),
"Doublon",
IF(
AND(E5="Connues",
SUMPRODUCT(
(E$6:E$29="Connues")*
(C$6:C$29=C5)*
(ROW($6:$29)&lt;&gt;ROW())*
(ABS(H$6:H$29-H5)&lt;=2)*
(
(ABS(H$6:H$29-VLOOKUP(C5,'Valeurs Règlement Campagne'!$A$4:$T$7,12,FALSE))&lt;=2)+
(ABS(H$6:H$29-VLOOKUP(C5,'Valeurs Règlement Campagne'!$A$4:$T$7,13,FALSE))&lt;=2)+
(ABS(H$6:H$29-VLOOKUP(C5,'Valeurs Règlement Campagne'!$A$4:$T$7,14,FALSE))&lt;=2)
)
)&gt;0
),
"Doublon",
IF(
$C5=0,
" ",
IF(
H5=0,
" ",IF($C5=0," ",IF(H5=0," ",IF('Valeurs Règlement Campagne'!$L$14="OUI",AND(H5&gt;=O5-2,H5&lt;=P5+2),OR(H5=O5,H5=O5+5,H5=P5))))))))</f>
        <v>1</v>
      </c>
      <c r="U5" s="98" t="b">
        <f>IF($C5=0," ",IF(I5=0," ",IF('Valeurs Règlement Campagne'!$L$14="OUI",AND(I5&gt;=O5-2,I5&lt;=Q5+2),OR(I5=O5,I5=O5+5,I5=Q5))))</f>
        <v>1</v>
      </c>
      <c r="V5" s="234" t="str">
        <f t="shared" ref="V5:V11" si="1">IF(OR(R5="Doublon",S5="Doublon"),"Doublon",IF(F5=0," ",IF(F5&gt;=G5,IF(AND(R5=TRUE,S5=TRUE),"ok","faux"),"faux")))</f>
        <v>ok</v>
      </c>
      <c r="W5" s="235"/>
      <c r="X5" s="235" t="str">
        <f t="shared" ref="X5:X11" si="2">IF(OR(S5="Doublon",T5="Doublon"),"Doublon",IF(G5=0," ",IF(G5&gt;=H5,IF(AND(S5=TRUE,T5=TRUE),"ok","faux"),"faux")))</f>
        <v>ok</v>
      </c>
      <c r="Y5" s="235"/>
      <c r="Z5" s="235" t="str">
        <f t="shared" ref="Z5:Z11" si="3">IF(OR(T5="Doublon",U5="Doublon"),"Doublon",IF(OR(H5=0,I5=0)," ",IF(H5&gt;=I5,IF(AND(T5=TRUE,U5=TRUE),"ok","faux"),"faux")))</f>
        <v>ok</v>
      </c>
      <c r="AA5" s="251"/>
      <c r="AB5" s="99" t="str">
        <f t="shared" ref="AB5:AB9" si="4">IF(AND(E5="Inconnues",LEFT(C5,1)="1",I5&gt;0),"Obligatoire",
IF(AND(E5="Connues",LEFT(C5,1)="1",I5&gt;=0),"Possible",
IF(AND(E5="Inconnues",LEFT(C5,1)="1",I5=0),"Manque orange","")))</f>
        <v>Obligatoire</v>
      </c>
      <c r="AC5" s="100" t="str">
        <f>IF(
  E5="Connues",
  IF(
    ABS(F5 - VLOOKUP(C5,'Valeurs Règlement Campagne'!$A$4:$T$7,12,FALSE))&lt;=2,
    VLOOKUP(C5,'Valeurs Règlement Campagne'!$A$4:$T$7,12,FALSE),
    IF(
      ABS(F5 - VLOOKUP(C5,'Valeurs Règlement Campagne'!$A$4:$T$7,13,FALSE))&lt;=2,
      VLOOKUP(C5,'Valeurs Règlement Campagne'!$A$4:$T$7,13,FALSE),
      IF(
        ABS(F5 - VLOOKUP(C5,'Valeurs Règlement Campagne'!$A$4:$T$7,14,FALSE))&lt;=2,
        VLOOKUP(C5,'Valeurs Règlement Campagne'!$A$4:$T$7,14,FALSE),
        ""
      )
    )
  ),
  ""
)</f>
        <v/>
      </c>
      <c r="AD5" s="100" t="str">
        <f>IF(
  E5="Connues",
  IF(
    ABS(G5 - VLOOKUP(C5,'Valeurs Règlement Campagne'!$A$4:$T$7,15,FALSE))&lt;=2,
    VLOOKUP(C5,'Valeurs Règlement Campagne'!$A$4:$T$7,15,FALSE),
    IF(
      ABS(G5 - VLOOKUP(C5,'Valeurs Règlement Campagne'!$A$4:$T$7,16,FALSE))&lt;=2,
      VLOOKUP(C5,'Valeurs Règlement Campagne'!$A$4:$T$7,16,FALSE),
      IF(
        ABS(G5 - VLOOKUP(C5,'Valeurs Règlement Campagne'!$A$4:$T$7,17,FALSE))&lt;=2,
        VLOOKUP(C5,'Valeurs Règlement Campagne'!$A$4:$T$7,17,FALSE),
        ""
      )
    )
  ),
  ""
)</f>
        <v/>
      </c>
      <c r="AE5" s="100" t="str">
        <f>IF(
  E5="Connues",
  IF(
    ABS(H5 - VLOOKUP(C5,'Valeurs Règlement Campagne'!$A$4:$T$7,15,FALSE))&lt;=2,
    VLOOKUP(C5,'Valeurs Règlement Campagne'!$A$4:$T$7,15,FALSE),
    IF(
      ABS(H5 - VLOOKUP(C5,'Valeurs Règlement Campagne'!$A$4:$T$7,16,FALSE))&lt;=2,
      VLOOKUP(C5,'Valeurs Règlement Campagne'!$A$4:$T$7,16,FALSE),
      IF(
        ABS(H5 - VLOOKUP(C5,'Valeurs Règlement Campagne'!$A$4:$T$7,17,FALSE))&lt;=2,
        VLOOKUP(C5,'Valeurs Règlement Campagne'!$A$4:$T$7,17,FALSE),
        ""
      )
    )
  ),
  ""
)</f>
        <v/>
      </c>
    </row>
    <row r="6" spans="1:31" ht="20.75" customHeight="1" thickBot="1">
      <c r="A6" s="307">
        <v>1</v>
      </c>
      <c r="B6" s="309"/>
      <c r="C6" s="277"/>
      <c r="D6" s="277"/>
      <c r="E6" s="60"/>
      <c r="F6" s="164"/>
      <c r="G6" s="165"/>
      <c r="H6" s="166"/>
      <c r="I6" s="177"/>
      <c r="J6" s="101"/>
      <c r="K6" s="102" t="str">
        <f>IF($E6=0," ",IF($E6=$D$31,VLOOKUP($C6,'Valeurs Règlement Campagne'!$A$4:$T$7,12,FALSE),VLOOKUP($C6,'Valeurs Règlement Campagne'!$A$4:$I$7,4,FALSE)))</f>
        <v xml:space="preserve"> </v>
      </c>
      <c r="L6" s="103" t="str">
        <f>IF($E6=0," ",IF($E6=$D$31,VLOOKUP($C6,'Valeurs Règlement Campagne'!$A$4:$T$7,14,FALSE),VLOOKUP($C6,'Valeurs Règlement Campagne'!$A$4:$L$7,5,FALSE)))</f>
        <v xml:space="preserve"> </v>
      </c>
      <c r="M6" s="102" t="str">
        <f>IF($E6=0," ",IF($E6=$D$31,VLOOKUP($C6,'Valeurs Règlement Campagne'!$A$4:$T$7,15,FALSE),VLOOKUP($C6,'Valeurs Règlement Campagne'!$A$4:$M$7,6,FALSE)))</f>
        <v xml:space="preserve"> </v>
      </c>
      <c r="N6" s="104" t="str">
        <f>IF($E6=0," ",IF($E6=$D$31,VLOOKUP($C6,'Valeurs Règlement Campagne'!$A$4:$T$7,17,FALSE),VLOOKUP($C6,'Valeurs Règlement Campagne'!$A$4:$N$7,7,FALSE)))</f>
        <v xml:space="preserve"> </v>
      </c>
      <c r="O6" s="105" t="str">
        <f>IF($E6=0," ",IF($E6=$D$31,VLOOKUP($C6,'Valeurs Règlement Campagne'!$A$4:$T$7,18,FALSE),VLOOKUP($C6,'Valeurs Règlement Campagne'!$A$4:$O$7,8,FALSE)))</f>
        <v xml:space="preserve"> </v>
      </c>
      <c r="P6" s="104" t="str">
        <f>IF($E6=0," ",IF($E6=$D$31,VLOOKUP($C6,'Valeurs Règlement Campagne'!$A$4:$T$7,20,FALSE),VLOOKUP($C6,'Valeurs Règlement Campagne'!$A$4:$P$7,9,FALSE)))</f>
        <v xml:space="preserve"> </v>
      </c>
      <c r="Q6" s="106" t="str">
        <f t="shared" si="0"/>
        <v xml:space="preserve"> </v>
      </c>
      <c r="R6" s="107" t="str" cm="1">
        <f t="array" ref="R6">IF(C6=0," ",IF(AND(E6="Connues",AC6&lt;&gt;"",COUNTIFS(AC$6:AC$29,AC6,C$6:C$29,C6)&gt;1),"Doublon",IF(AND(E6="Connues",SUMPRODUCT((E$6:E$29="Connues")*(C$6:C$29=C6)*(ROW($6:$29)&lt;&gt;ROW())*(ABS(F$6:F$29-F6)&lt;=2)*((ABS(F$6:F$29-VLOOKUP(C6,'Valeurs Règlement Campagne'!$A$4:$T$7,12,FALSE))&lt;=2)+(ABS(F$6:F$29-VLOOKUP(C6,'Valeurs Règlement Campagne'!$A$4:$T$7,13,FALSE))&lt;=2)+(ABS(F$6:F$29-VLOOKUP(C6,'Valeurs Règlement Campagne'!$A$4:$T$7,14,FALSE))&lt;=2)))&gt;0),"Doublon",IF($C6=0," ",IF(F6=0," ",IF(E6="Inconnues",AND(F6&gt;=K6,F6&lt;=L6),IF(AND('Valeurs Règlement Campagne'!$L$14="OUI",E6="Connues"),AND(F6&gt;=K6-2,F6&lt;=L6+2),OR(F6=K6,F6=K6+5,F6=L6))))))))</f>
        <v xml:space="preserve"> </v>
      </c>
      <c r="S6" s="108" t="str" cm="1">
        <f t="array" ref="S6">IF(C6=0," ",IF(AND(E6="Connues",AD6&lt;&gt;"",COUNTIFS(AD$6:AD$29,AD6,C$6:C$29,C6)&gt;1),"Doublon",IF(AND(E6="Connues",SUMPRODUCT((E$6:E$29="Connues")*(C$6:C$29=C6)*(ROW($6:$29)&lt;&gt;ROW())*(ABS(G$6:G$29-G6)&lt;=2)*((ABS(G$6:G$29-VLOOKUP(C6,'Valeurs Règlement Campagne'!$A$4:$T$7,15,FALSE))&lt;=2)+(ABS(G$6:G$29-VLOOKUP(C6,'Valeurs Règlement Campagne'!$A$4:$T$7,16,FALSE))&lt;=2)+(ABS(G$6:G$29-VLOOKUP(C6,'Valeurs Règlement Campagne'!$A$4:$T$7,17,FALSE))&lt;=2)))&gt;0),"Doublon",IF($C6=0," ",IF(G6=0," ",IF(E6="Inconnues",AND(G6&gt;=M6,G6&lt;=N6),IF(AND('Valeurs Règlement Campagne'!$L$14="OUI",E6="Connues"),AND(G6&gt;=M6-2,G6&lt;=N6+2),OR(G6=M6,G6=M6+5,G6=N6))))))))</f>
        <v xml:space="preserve"> </v>
      </c>
      <c r="T6" s="108" t="str" cm="1">
        <f t="array" ref="T6">IF(C6=0," ",IF(AND(E6="Connues",AE6&lt;&gt;"",COUNTIFS(AE$6:AE$29,AE6,C$6:C$29,C6)&gt;1),"Doublon",IF(AND(E6="Connues",SUMPRODUCT((E$6:E$29="Connues")*(C$6:C$29=C6)*(ROW($6:$29)&lt;&gt;ROW())*(ABS(H$6:H$29-H6)&lt;=2)*((ABS(H$6:H$29-VLOOKUP(C6,'Valeurs Règlement Campagne'!$A$4:$T$7,18,FALSE))&lt;=2)+(ABS(H$7:H$30-VLOOKUP(C6,'Valeurs Règlement Campagne'!$A$4:$T$7,19,FALSE))&lt;=2)+(ABS(H$6:H$29-VLOOKUP(C6,'Valeurs Règlement Campagne'!$A$4:$T$7,20,FALSE))&lt;=2)))&gt;0),"Doublon",IF($C6=0," ",IF(H6=0," ",IF(E6="Inconnues",AND(H6&gt;=O6,H6&lt;=P6),IF(AND('Valeurs Règlement Campagne'!$L$14="OUI",E6="Connues"),AND(H6&gt;=O6-2,H6&lt;=P6+2),OR(H6=O6,H6=O6+5,H6=P6))))))))</f>
        <v xml:space="preserve"> </v>
      </c>
      <c r="U6" s="109" t="str">
        <f>IF($C6=0," ",IF(I6=0," ",IF('Valeurs Règlement Campagne'!$L$14="OUI",AND(I6&gt;=O6-2,I6&lt;=Q6+2),OR(I6=O6,I6=O6+5,I6=Q6))))</f>
        <v xml:space="preserve"> </v>
      </c>
      <c r="V6" s="278" t="str">
        <f t="shared" si="1"/>
        <v xml:space="preserve"> </v>
      </c>
      <c r="W6" s="218"/>
      <c r="X6" s="218" t="str">
        <f t="shared" si="2"/>
        <v xml:space="preserve"> </v>
      </c>
      <c r="Y6" s="218"/>
      <c r="Z6" s="218" t="str">
        <f t="shared" si="3"/>
        <v xml:space="preserve"> </v>
      </c>
      <c r="AA6" s="252"/>
      <c r="AB6" s="110" t="str">
        <f t="shared" si="4"/>
        <v/>
      </c>
      <c r="AC6" s="100" t="str">
        <f>IF(
  E6="Connues",
  IF(
    ABS(F6 - VLOOKUP(C6,'Valeurs Règlement Campagne'!$A$4:$T$7,12,FALSE))&lt;=2,
    VLOOKUP(C6,'Valeurs Règlement Campagne'!$A$4:$T$7,12,FALSE),
    IF(
      ABS(F6 - VLOOKUP(C6,'Valeurs Règlement Campagne'!$A$4:$T$7,13,FALSE))&lt;=2,
      VLOOKUP(C6,'Valeurs Règlement Campagne'!$A$4:$T$7,13,FALSE),
      IF(
        ABS(F6 - VLOOKUP(C6,'Valeurs Règlement Campagne'!$A$4:$T$7,14,FALSE))&lt;=2,
        VLOOKUP(C6,'Valeurs Règlement Campagne'!$A$4:$T$7,14,FALSE),
        ""
      )
    )
  ),
  ""
)</f>
        <v/>
      </c>
      <c r="AD6" s="100" t="str">
        <f>IF(
  E6="Connues",
  IF(
    ABS(G6 - VLOOKUP(C6,'Valeurs Règlement Campagne'!$A$4:$T$7,15,FALSE))&lt;=2,
    VLOOKUP(C6,'Valeurs Règlement Campagne'!$A$4:$T$7,15,FALSE),
    IF(
      ABS(G6 - VLOOKUP(C6,'Valeurs Règlement Campagne'!$A$4:$T$7,16,FALSE))&lt;=2,
      VLOOKUP(C6,'Valeurs Règlement Campagne'!$A$4:$T$7,16,FALSE),
      IF(
        ABS(G6 - VLOOKUP(C6,'Valeurs Règlement Campagne'!$A$4:$T$7,17,FALSE))&lt;=2,
        VLOOKUP(C6,'Valeurs Règlement Campagne'!$A$4:$T$7,17,FALSE),
        ""
      )
    )
  ),
  ""
)</f>
        <v/>
      </c>
      <c r="AE6" s="100" t="str">
        <f>IF(
  E6="Connues",
  IF(
    ABS(H6 - VLOOKUP(C6,'Valeurs Règlement Campagne'!$A$4:$T$7,15,FALSE))&lt;=2,
    VLOOKUP(C6,'Valeurs Règlement Campagne'!$A$4:$T$7,15,FALSE),
    IF(
      ABS(H6 - VLOOKUP(C6,'Valeurs Règlement Campagne'!$A$4:$T$7,16,FALSE))&lt;=2,
      VLOOKUP(C6,'Valeurs Règlement Campagne'!$A$4:$T$7,16,FALSE),
      IF(
        ABS(H6 - VLOOKUP(C6,'Valeurs Règlement Campagne'!$A$4:$T$7,17,FALSE))&lt;=2,
        VLOOKUP(C6,'Valeurs Règlement Campagne'!$A$4:$T$7,17,FALSE),
        ""
      )
    )
  ),
  ""
)</f>
        <v/>
      </c>
    </row>
    <row r="7" spans="1:31" ht="20.75" customHeight="1" thickBot="1">
      <c r="A7" s="213">
        <v>2</v>
      </c>
      <c r="B7" s="310"/>
      <c r="C7" s="284"/>
      <c r="D7" s="284"/>
      <c r="E7" s="61"/>
      <c r="F7" s="167"/>
      <c r="G7" s="168"/>
      <c r="H7" s="169"/>
      <c r="I7" s="175"/>
      <c r="J7" s="101"/>
      <c r="K7" s="102" t="str">
        <f>IF($E7=0," ",IF($E7=$D$31,VLOOKUP($C7,'Valeurs Règlement Campagne'!$A$4:$T$7,12,FALSE),VLOOKUP($C7,'Valeurs Règlement Campagne'!$A$4:$I$7,4,FALSE)))</f>
        <v xml:space="preserve"> </v>
      </c>
      <c r="L7" s="103" t="str">
        <f>IF($E7=0," ",IF($E7=$D$31,VLOOKUP($C7,'Valeurs Règlement Campagne'!$A$4:$T$7,14,FALSE),VLOOKUP($C7,'Valeurs Règlement Campagne'!$A$4:$L$7,5,FALSE)))</f>
        <v xml:space="preserve"> </v>
      </c>
      <c r="M7" s="102" t="str">
        <f>IF($E7=0," ",IF($E7=$D$31,VLOOKUP($C7,'Valeurs Règlement Campagne'!$A$4:$T$7,15,FALSE),VLOOKUP($C7,'Valeurs Règlement Campagne'!$A$4:$M$7,6,FALSE)))</f>
        <v xml:space="preserve"> </v>
      </c>
      <c r="N7" s="104" t="str">
        <f>IF($E7=0," ",IF($E7=$D$31,VLOOKUP($C7,'Valeurs Règlement Campagne'!$A$4:$T$7,17,FALSE),VLOOKUP($C7,'Valeurs Règlement Campagne'!$A$4:$N$7,7,FALSE)))</f>
        <v xml:space="preserve"> </v>
      </c>
      <c r="O7" s="105" t="str">
        <f>IF($E7=0," ",IF($E7=$D$31,VLOOKUP($C7,'Valeurs Règlement Campagne'!$A$4:$T$7,18,FALSE),VLOOKUP($C7,'Valeurs Règlement Campagne'!$A$4:$O$7,8,FALSE)))</f>
        <v xml:space="preserve"> </v>
      </c>
      <c r="P7" s="104" t="str">
        <f>IF($E7=0," ",IF($E7=$D$31,VLOOKUP($C7,'Valeurs Règlement Campagne'!$A$4:$T$7,20,FALSE),VLOOKUP($C7,'Valeurs Règlement Campagne'!$A$4:$P$7,9,FALSE)))</f>
        <v xml:space="preserve"> </v>
      </c>
      <c r="Q7" s="111" t="str">
        <f t="shared" si="0"/>
        <v xml:space="preserve"> </v>
      </c>
      <c r="R7" s="112" t="str" cm="1">
        <f t="array" ref="R7">IF(C7=0," ",IF(AND(E7="Connues",AC7&lt;&gt;"",COUNTIFS(AC$6:AC$29,AC7,C$6:C$29,C7)&gt;1),"Doublon",IF(AND(E7="Connues",SUMPRODUCT((E$6:E$29="Connues")*(C$6:C$29=C7)*(ROW($6:$29)&lt;&gt;ROW())*(ABS(F$6:F$29-F7)&lt;=2)*((ABS(F$6:F$29-VLOOKUP(C7,'Valeurs Règlement Campagne'!$A$4:$T$7,12,FALSE))&lt;=2)+(ABS(F$6:F$29-VLOOKUP(C7,'Valeurs Règlement Campagne'!$A$4:$T$7,13,FALSE))&lt;=2)+(ABS(F$6:F$29-VLOOKUP(C7,'Valeurs Règlement Campagne'!$A$4:$T$7,14,FALSE))&lt;=2)))&gt;0),"Doublon",IF($C7=0," ",IF(F7=0," ",IF(E7="Inconnues",AND(F7&gt;=K7,F7&lt;=L7),IF(AND('Valeurs Règlement Campagne'!$L$14="OUI",E7="Connues"),AND(F7&gt;=K7-2,F7&lt;=L7+2),OR(F7=K7,F7=K7+5,F7=L7))))))))</f>
        <v xml:space="preserve"> </v>
      </c>
      <c r="S7" s="113" t="str" cm="1">
        <f t="array" ref="S7">IF(C7=0," ",IF(AND(E7="Connues",AD7&lt;&gt;"",COUNTIFS(AD$6:AD$29,AD7,C$6:C$29,C7)&gt;1),"Doublon",IF(AND(E7="Connues",SUMPRODUCT((E$6:E$29="Connues")*(C$6:C$29=C7)*(ROW($6:$29)&lt;&gt;ROW())*(ABS(G$6:G$29-G7)&lt;=2)*((ABS(G$6:G$29-VLOOKUP(C7,'Valeurs Règlement Campagne'!$A$4:$T$7,15,FALSE))&lt;=2)+(ABS(G$6:G$29-VLOOKUP(C7,'Valeurs Règlement Campagne'!$A$4:$T$7,16,FALSE))&lt;=2)+(ABS(G$6:G$29-VLOOKUP(C7,'Valeurs Règlement Campagne'!$A$4:$T$7,17,FALSE))&lt;=2)))&gt;0),"Doublon",IF($C7=0," ",IF(G7=0," ",IF(E7="Inconnues",AND(G7&gt;=M7,G7&lt;=N7),IF(AND('Valeurs Règlement Campagne'!$L$14="OUI",E7="Connues"),AND(G7&gt;=M7-2,G7&lt;=N7+2),OR(G7=M7,G7=M7+5,G7=N7))))))))</f>
        <v xml:space="preserve"> </v>
      </c>
      <c r="T7" s="113" t="str" cm="1">
        <f t="array" ref="T7">IF(C7=0," ",IF(AND(E7="Connues",AE7&lt;&gt;"",COUNTIFS(AE$6:AE$29,AE7,C$6:C$29,C7)&gt;1),"Doublon",IF(AND(E7="Connues",SUMPRODUCT((E$6:E$29="Connues")*(C$6:C$29=C7)*(ROW($6:$29)&lt;&gt;ROW())*(ABS(H$6:H$29-H7)&lt;=2)*((ABS(H$6:H$29-VLOOKUP(C7,'Valeurs Règlement Campagne'!$A$4:$T$7,18,FALSE))&lt;=2)+(ABS(H$7:H$30-VLOOKUP(C7,'Valeurs Règlement Campagne'!$A$4:$T$7,19,FALSE))&lt;=2)+(ABS(H$6:H$29-VLOOKUP(C7,'Valeurs Règlement Campagne'!$A$4:$T$7,20,FALSE))&lt;=2)))&gt;0),"Doublon",IF($C7=0," ",IF(H7=0," ",IF(E7="Inconnues",AND(H7&gt;=O7,H7&lt;=P7),IF(AND('Valeurs Règlement Campagne'!$L$14="OUI",E7="Connues"),AND(H7&gt;=O7-2,H7&lt;=P7+2),OR(H7=O7,H7=O7+5,H7=P7))))))))</f>
        <v xml:space="preserve"> </v>
      </c>
      <c r="U7" s="110" t="str">
        <f>IF($C7=0," ",IF(I7=0," ",IF('Valeurs Règlement Campagne'!$L$14="OUI",AND(I7&gt;=O7-2,I7&lt;=Q7+2),OR(I7=O7,I7=O7+5,I7=Q7))))</f>
        <v xml:space="preserve"> </v>
      </c>
      <c r="V7" s="281" t="str">
        <f t="shared" si="1"/>
        <v xml:space="preserve"> </v>
      </c>
      <c r="W7" s="282"/>
      <c r="X7" s="282" t="str">
        <f t="shared" si="2"/>
        <v xml:space="preserve"> </v>
      </c>
      <c r="Y7" s="282"/>
      <c r="Z7" s="282" t="str">
        <f t="shared" si="3"/>
        <v xml:space="preserve"> </v>
      </c>
      <c r="AA7" s="283"/>
      <c r="AB7" s="114" t="str">
        <f t="shared" si="4"/>
        <v/>
      </c>
      <c r="AC7" s="100" t="str">
        <f>IF(
  E7="Connues",
  IF(
    ABS(F7 - VLOOKUP(C7,'Valeurs Règlement Campagne'!$A$4:$T$7,12,FALSE))&lt;=2,
    VLOOKUP(C7,'Valeurs Règlement Campagne'!$A$4:$T$7,12,FALSE),
    IF(
      ABS(F7 - VLOOKUP(C7,'Valeurs Règlement Campagne'!$A$4:$T$7,13,FALSE))&lt;=2,
      VLOOKUP(C7,'Valeurs Règlement Campagne'!$A$4:$T$7,13,FALSE),
      IF(
        ABS(F7 - VLOOKUP(C7,'Valeurs Règlement Campagne'!$A$4:$T$7,14,FALSE))&lt;=2,
        VLOOKUP(C7,'Valeurs Règlement Campagne'!$A$4:$T$7,14,FALSE),
        ""
      )
    )
  ),
  ""
)</f>
        <v/>
      </c>
      <c r="AD7" s="100" t="str">
        <f>IF(
  E7="Connues",
  IF(
    ABS(G7 - VLOOKUP(C7,'Valeurs Règlement Campagne'!$A$4:$T$7,15,FALSE))&lt;=2,
    VLOOKUP(C7,'Valeurs Règlement Campagne'!$A$4:$T$7,15,FALSE),
    IF(
      ABS(G7 - VLOOKUP(C7,'Valeurs Règlement Campagne'!$A$4:$T$7,16,FALSE))&lt;=2,
      VLOOKUP(C7,'Valeurs Règlement Campagne'!$A$4:$T$7,16,FALSE),
      IF(
        ABS(G7 - VLOOKUP(C7,'Valeurs Règlement Campagne'!$A$4:$T$7,17,FALSE))&lt;=2,
        VLOOKUP(C7,'Valeurs Règlement Campagne'!$A$4:$T$7,17,FALSE),
        ""
      )
    )
  ),
  ""
)</f>
        <v/>
      </c>
      <c r="AE7" s="100" t="str">
        <f>IF(
  E7="Connues",
  IF(
    ABS(H7 - VLOOKUP(C7,'Valeurs Règlement Campagne'!$A$4:$T$7,15,FALSE))&lt;=2,
    VLOOKUP(C7,'Valeurs Règlement Campagne'!$A$4:$T$7,15,FALSE),
    IF(
      ABS(H7 - VLOOKUP(C7,'Valeurs Règlement Campagne'!$A$4:$T$7,16,FALSE))&lt;=2,
      VLOOKUP(C7,'Valeurs Règlement Campagne'!$A$4:$T$7,16,FALSE),
      IF(
        ABS(H7 - VLOOKUP(C7,'Valeurs Règlement Campagne'!$A$4:$T$7,17,FALSE))&lt;=2,
        VLOOKUP(C7,'Valeurs Règlement Campagne'!$A$4:$T$7,17,FALSE),
        ""
      )
    )
  ),
  ""
)</f>
        <v/>
      </c>
    </row>
    <row r="8" spans="1:31" ht="20.75" customHeight="1" thickBot="1">
      <c r="A8" s="213">
        <v>3</v>
      </c>
      <c r="B8" s="310"/>
      <c r="C8" s="284"/>
      <c r="D8" s="284"/>
      <c r="E8" s="61"/>
      <c r="F8" s="167"/>
      <c r="G8" s="168"/>
      <c r="H8" s="169"/>
      <c r="I8" s="175"/>
      <c r="J8" s="101"/>
      <c r="K8" s="102" t="str">
        <f>IF($E8=0," ",IF($E8=$D$31,VLOOKUP($C8,'Valeurs Règlement Campagne'!$A$4:$T$7,12,FALSE),VLOOKUP($C8,'Valeurs Règlement Campagne'!$A$4:$I$7,4,FALSE)))</f>
        <v xml:space="preserve"> </v>
      </c>
      <c r="L8" s="103" t="str">
        <f>IF($E8=0," ",IF($E8=$D$31,VLOOKUP($C8,'Valeurs Règlement Campagne'!$A$4:$T$7,14,FALSE),VLOOKUP($C8,'Valeurs Règlement Campagne'!$A$4:$L$7,5,FALSE)))</f>
        <v xml:space="preserve"> </v>
      </c>
      <c r="M8" s="102" t="str">
        <f>IF($E8=0," ",IF($E8=$D$31,VLOOKUP($C8,'Valeurs Règlement Campagne'!$A$4:$T$7,15,FALSE),VLOOKUP($C8,'Valeurs Règlement Campagne'!$A$4:$M$7,6,FALSE)))</f>
        <v xml:space="preserve"> </v>
      </c>
      <c r="N8" s="104" t="str">
        <f>IF($E8=0," ",IF($E8=$D$31,VLOOKUP($C8,'Valeurs Règlement Campagne'!$A$4:$T$7,17,FALSE),VLOOKUP($C8,'Valeurs Règlement Campagne'!$A$4:$N$7,7,FALSE)))</f>
        <v xml:space="preserve"> </v>
      </c>
      <c r="O8" s="105" t="str">
        <f>IF($E8=0," ",IF($E8=$D$31,VLOOKUP($C8,'Valeurs Règlement Campagne'!$A$4:$T$7,18,FALSE),VLOOKUP($C8,'Valeurs Règlement Campagne'!$A$4:$O$7,8,FALSE)))</f>
        <v xml:space="preserve"> </v>
      </c>
      <c r="P8" s="104" t="str">
        <f>IF($E8=0," ",IF($E8=$D$31,VLOOKUP($C8,'Valeurs Règlement Campagne'!$A$4:$T$7,20,FALSE),VLOOKUP($C8,'Valeurs Règlement Campagne'!$A$4:$P$7,9,FALSE)))</f>
        <v xml:space="preserve"> </v>
      </c>
      <c r="Q8" s="111" t="str">
        <f t="shared" si="0"/>
        <v xml:space="preserve"> </v>
      </c>
      <c r="R8" s="112" t="str" cm="1">
        <f t="array" ref="R8">IF(C8=0," ",IF(AND(E8="Connues",AC8&lt;&gt;"",COUNTIFS(AC$6:AC$29,AC8,C$6:C$29,C8)&gt;1),"Doublon",IF(AND(E8="Connues",SUMPRODUCT((E$6:E$29="Connues")*(C$6:C$29=C8)*(ROW($6:$29)&lt;&gt;ROW())*(ABS(F$6:F$29-F8)&lt;=2)*((ABS(F$6:F$29-VLOOKUP(C8,'Valeurs Règlement Campagne'!$A$4:$T$7,12,FALSE))&lt;=2)+(ABS(F$6:F$29-VLOOKUP(C8,'Valeurs Règlement Campagne'!$A$4:$T$7,13,FALSE))&lt;=2)+(ABS(F$6:F$29-VLOOKUP(C8,'Valeurs Règlement Campagne'!$A$4:$T$7,14,FALSE))&lt;=2)))&gt;0),"Doublon",IF($C8=0," ",IF(F8=0," ",IF(E8="Inconnues",AND(F8&gt;=K8,F8&lt;=L8),IF(AND('Valeurs Règlement Campagne'!$L$14="OUI",E8="Connues"),AND(F8&gt;=K8-2,F8&lt;=L8+2),OR(F8=K8,F8=K8+5,F8=L8))))))))</f>
        <v xml:space="preserve"> </v>
      </c>
      <c r="S8" s="113" t="str" cm="1">
        <f t="array" ref="S8">IF(C8=0," ",IF(AND(E8="Connues",AD8&lt;&gt;"",COUNTIFS(AD$6:AD$29,AD8,C$6:C$29,C8)&gt;1),"Doublon",IF(AND(E8="Connues",SUMPRODUCT((E$6:E$29="Connues")*(C$6:C$29=C8)*(ROW($6:$29)&lt;&gt;ROW())*(ABS(G$6:G$29-G8)&lt;=2)*((ABS(G$6:G$29-VLOOKUP(C8,'Valeurs Règlement Campagne'!$A$4:$T$7,15,FALSE))&lt;=2)+(ABS(G$6:G$29-VLOOKUP(C8,'Valeurs Règlement Campagne'!$A$4:$T$7,16,FALSE))&lt;=2)+(ABS(G$6:G$29-VLOOKUP(C8,'Valeurs Règlement Campagne'!$A$4:$T$7,17,FALSE))&lt;=2)))&gt;0),"Doublon",IF($C8=0," ",IF(G8=0," ",IF(E8="Inconnues",AND(G8&gt;=M8,G8&lt;=N8),IF(AND('Valeurs Règlement Campagne'!$L$14="OUI",E8="Connues"),AND(G8&gt;=M8-2,G8&lt;=N8+2),OR(G8=M8,G8=M8+5,G8=N8))))))))</f>
        <v xml:space="preserve"> </v>
      </c>
      <c r="T8" s="113" t="str" cm="1">
        <f t="array" ref="T8">IF(C8=0," ",IF(AND(E8="Connues",AE8&lt;&gt;"",COUNTIFS(AE$6:AE$29,AE8,C$6:C$29,C8)&gt;1),"Doublon",IF(AND(E8="Connues",SUMPRODUCT((E$6:E$29="Connues")*(C$6:C$29=C8)*(ROW($6:$29)&lt;&gt;ROW())*(ABS(H$6:H$29-H8)&lt;=2)*((ABS(H$6:H$29-VLOOKUP(C8,'Valeurs Règlement Campagne'!$A$4:$T$7,18,FALSE))&lt;=2)+(ABS(H$7:H$30-VLOOKUP(C8,'Valeurs Règlement Campagne'!$A$4:$T$7,19,FALSE))&lt;=2)+(ABS(H$6:H$29-VLOOKUP(C8,'Valeurs Règlement Campagne'!$A$4:$T$7,20,FALSE))&lt;=2)))&gt;0),"Doublon",IF($C8=0," ",IF(H8=0," ",IF(E8="Inconnues",AND(H8&gt;=O8,H8&lt;=P8),IF(AND('Valeurs Règlement Campagne'!$L$14="OUI",E8="Connues"),AND(H8&gt;=O8-2,H8&lt;=P8+2),OR(H8=O8,H8=O8+5,H8=P8))))))))</f>
        <v xml:space="preserve"> </v>
      </c>
      <c r="U8" s="110" t="str">
        <f>IF($C8=0," ",IF(I8=0," ",IF('Valeurs Règlement Campagne'!$L$14="OUI",AND(I8&gt;=O8-2,I8&lt;=Q8+2),OR(I8=O8,I8=O8+5,I8=Q8))))</f>
        <v xml:space="preserve"> </v>
      </c>
      <c r="V8" s="281" t="str">
        <f t="shared" si="1"/>
        <v xml:space="preserve"> </v>
      </c>
      <c r="W8" s="282"/>
      <c r="X8" s="282" t="str">
        <f t="shared" si="2"/>
        <v xml:space="preserve"> </v>
      </c>
      <c r="Y8" s="282"/>
      <c r="Z8" s="282" t="str">
        <f t="shared" si="3"/>
        <v xml:space="preserve"> </v>
      </c>
      <c r="AA8" s="283"/>
      <c r="AB8" s="114" t="str">
        <f t="shared" si="4"/>
        <v/>
      </c>
      <c r="AC8" s="100" t="str">
        <f>IF(
  E8="Connues",
  IF(
    ABS(F8 - VLOOKUP(C8,'Valeurs Règlement Campagne'!$A$4:$T$7,12,FALSE))&lt;=2,
    VLOOKUP(C8,'Valeurs Règlement Campagne'!$A$4:$T$7,12,FALSE),
    IF(
      ABS(F8 - VLOOKUP(C8,'Valeurs Règlement Campagne'!$A$4:$T$7,13,FALSE))&lt;=2,
      VLOOKUP(C8,'Valeurs Règlement Campagne'!$A$4:$T$7,13,FALSE),
      IF(
        ABS(F8 - VLOOKUP(C8,'Valeurs Règlement Campagne'!$A$4:$T$7,14,FALSE))&lt;=2,
        VLOOKUP(C8,'Valeurs Règlement Campagne'!$A$4:$T$7,14,FALSE),
        ""
      )
    )
  ),
  ""
)</f>
        <v/>
      </c>
      <c r="AD8" s="100" t="str">
        <f>IF(
  E8="Connues",
  IF(
    ABS(G8 - VLOOKUP(C8,'Valeurs Règlement Campagne'!$A$4:$T$7,15,FALSE))&lt;=2,
    VLOOKUP(C8,'Valeurs Règlement Campagne'!$A$4:$T$7,15,FALSE),
    IF(
      ABS(G8 - VLOOKUP(C8,'Valeurs Règlement Campagne'!$A$4:$T$7,16,FALSE))&lt;=2,
      VLOOKUP(C8,'Valeurs Règlement Campagne'!$A$4:$T$7,16,FALSE),
      IF(
        ABS(G8 - VLOOKUP(C8,'Valeurs Règlement Campagne'!$A$4:$T$7,17,FALSE))&lt;=2,
        VLOOKUP(C8,'Valeurs Règlement Campagne'!$A$4:$T$7,17,FALSE),
        ""
      )
    )
  ),
  ""
)</f>
        <v/>
      </c>
      <c r="AE8" s="100" t="str">
        <f>IF(
  E8="Connues",
  IF(
    ABS(H8 - VLOOKUP(C8,'Valeurs Règlement Campagne'!$A$4:$T$7,15,FALSE))&lt;=2,
    VLOOKUP(C8,'Valeurs Règlement Campagne'!$A$4:$T$7,15,FALSE),
    IF(
      ABS(H8 - VLOOKUP(C8,'Valeurs Règlement Campagne'!$A$4:$T$7,16,FALSE))&lt;=2,
      VLOOKUP(C8,'Valeurs Règlement Campagne'!$A$4:$T$7,16,FALSE),
      IF(
        ABS(H8 - VLOOKUP(C8,'Valeurs Règlement Campagne'!$A$4:$T$7,17,FALSE))&lt;=2,
        VLOOKUP(C8,'Valeurs Règlement Campagne'!$A$4:$T$7,17,FALSE),
        ""
      )
    )
  ),
  ""
)</f>
        <v/>
      </c>
    </row>
    <row r="9" spans="1:31" ht="20.75" customHeight="1" thickBot="1">
      <c r="A9" s="213">
        <v>4</v>
      </c>
      <c r="B9" s="310"/>
      <c r="C9" s="279"/>
      <c r="D9" s="280"/>
      <c r="E9" s="61"/>
      <c r="F9" s="167"/>
      <c r="G9" s="168"/>
      <c r="H9" s="169"/>
      <c r="I9" s="175"/>
      <c r="J9" s="101"/>
      <c r="K9" s="102" t="str">
        <f>IF($E9=0," ",IF($E9=$D$31,VLOOKUP($C9,'Valeurs Règlement Campagne'!$A$4:$T$7,12,FALSE),VLOOKUP($C9,'Valeurs Règlement Campagne'!$A$4:$I$7,4,FALSE)))</f>
        <v xml:space="preserve"> </v>
      </c>
      <c r="L9" s="103" t="str">
        <f>IF($E9=0," ",IF($E9=$D$31,VLOOKUP($C9,'Valeurs Règlement Campagne'!$A$4:$T$7,14,FALSE),VLOOKUP($C9,'Valeurs Règlement Campagne'!$A$4:$L$7,5,FALSE)))</f>
        <v xml:space="preserve"> </v>
      </c>
      <c r="M9" s="102" t="str">
        <f>IF($E9=0," ",IF($E9=$D$31,VLOOKUP($C9,'Valeurs Règlement Campagne'!$A$4:$T$7,15,FALSE),VLOOKUP($C9,'Valeurs Règlement Campagne'!$A$4:$M$7,6,FALSE)))</f>
        <v xml:space="preserve"> </v>
      </c>
      <c r="N9" s="104" t="str">
        <f>IF($E9=0," ",IF($E9=$D$31,VLOOKUP($C9,'Valeurs Règlement Campagne'!$A$4:$T$7,17,FALSE),VLOOKUP($C9,'Valeurs Règlement Campagne'!$A$4:$N$7,7,FALSE)))</f>
        <v xml:space="preserve"> </v>
      </c>
      <c r="O9" s="105" t="str">
        <f>IF($E9=0," ",IF($E9=$D$31,VLOOKUP($C9,'Valeurs Règlement Campagne'!$A$4:$T$7,18,FALSE),VLOOKUP($C9,'Valeurs Règlement Campagne'!$A$4:$O$7,8,FALSE)))</f>
        <v xml:space="preserve"> </v>
      </c>
      <c r="P9" s="104" t="str">
        <f>IF($E9=0," ",IF($E9=$D$31,VLOOKUP($C9,'Valeurs Règlement Campagne'!$A$4:$T$7,20,FALSE),VLOOKUP($C9,'Valeurs Règlement Campagne'!$A$4:$P$7,9,FALSE)))</f>
        <v xml:space="preserve"> </v>
      </c>
      <c r="Q9" s="111" t="str">
        <f t="shared" si="0"/>
        <v xml:space="preserve"> </v>
      </c>
      <c r="R9" s="112" t="str" cm="1">
        <f t="array" ref="R9">IF(C9=0," ",IF(AND(E9="Connues",AC9&lt;&gt;"",COUNTIFS(AC$6:AC$29,AC9,C$6:C$29,C9)&gt;1),"Doublon",IF(AND(E9="Connues",SUMPRODUCT((E$6:E$29="Connues")*(C$6:C$29=C9)*(ROW($6:$29)&lt;&gt;ROW())*(ABS(F$6:F$29-F9)&lt;=2)*((ABS(F$6:F$29-VLOOKUP(C9,'Valeurs Règlement Campagne'!$A$4:$T$7,12,FALSE))&lt;=2)+(ABS(F$6:F$29-VLOOKUP(C9,'Valeurs Règlement Campagne'!$A$4:$T$7,13,FALSE))&lt;=2)+(ABS(F$6:F$29-VLOOKUP(C9,'Valeurs Règlement Campagne'!$A$4:$T$7,14,FALSE))&lt;=2)))&gt;0),"Doublon",IF($C9=0," ",IF(F9=0," ",IF(E9="Inconnues",AND(F9&gt;=K9,F9&lt;=L9),IF(AND('Valeurs Règlement Campagne'!$L$14="OUI",E9="Connues"),AND(F9&gt;=K9-2,F9&lt;=L9+2),OR(F9=K9,F9=K9+5,F9=L9))))))))</f>
        <v xml:space="preserve"> </v>
      </c>
      <c r="S9" s="113" t="str" cm="1">
        <f t="array" ref="S9">IF(C9=0," ",IF(AND(E9="Connues",AD9&lt;&gt;"",COUNTIFS(AD$6:AD$29,AD9,C$6:C$29,C9)&gt;1),"Doublon",IF(AND(E9="Connues",SUMPRODUCT((E$6:E$29="Connues")*(C$6:C$29=C9)*(ROW($6:$29)&lt;&gt;ROW())*(ABS(G$6:G$29-G9)&lt;=2)*((ABS(G$6:G$29-VLOOKUP(C9,'Valeurs Règlement Campagne'!$A$4:$T$7,15,FALSE))&lt;=2)+(ABS(G$6:G$29-VLOOKUP(C9,'Valeurs Règlement Campagne'!$A$4:$T$7,16,FALSE))&lt;=2)+(ABS(G$6:G$29-VLOOKUP(C9,'Valeurs Règlement Campagne'!$A$4:$T$7,17,FALSE))&lt;=2)))&gt;0),"Doublon",IF($C9=0," ",IF(G9=0," ",IF(E9="Inconnues",AND(G9&gt;=M9,G9&lt;=N9),IF(AND('Valeurs Règlement Campagne'!$L$14="OUI",E9="Connues"),AND(G9&gt;=M9-2,G9&lt;=N9+2),OR(G9=M9,G9=M9+5,G9=N9))))))))</f>
        <v xml:space="preserve"> </v>
      </c>
      <c r="T9" s="113" t="str" cm="1">
        <f t="array" ref="T9">IF(C9=0," ",IF(AND(E9="Connues",AE9&lt;&gt;"",COUNTIFS(AE$6:AE$29,AE9,C$6:C$29,C9)&gt;1),"Doublon",IF(AND(E9="Connues",SUMPRODUCT((E$6:E$29="Connues")*(C$6:C$29=C9)*(ROW($6:$29)&lt;&gt;ROW())*(ABS(H$6:H$29-H9)&lt;=2)*((ABS(H$6:H$29-VLOOKUP(C9,'Valeurs Règlement Campagne'!$A$4:$T$7,18,FALSE))&lt;=2)+(ABS(H$7:H$30-VLOOKUP(C9,'Valeurs Règlement Campagne'!$A$4:$T$7,19,FALSE))&lt;=2)+(ABS(H$6:H$29-VLOOKUP(C9,'Valeurs Règlement Campagne'!$A$4:$T$7,20,FALSE))&lt;=2)))&gt;0),"Doublon",IF($C9=0," ",IF(H9=0," ",IF(E9="Inconnues",AND(H9&gt;=O9,H9&lt;=P9),IF(AND('Valeurs Règlement Campagne'!$L$14="OUI",E9="Connues"),AND(H9&gt;=O9-2,H9&lt;=P9+2),OR(H9=O9,H9=O9+5,H9=P9))))))))</f>
        <v xml:space="preserve"> </v>
      </c>
      <c r="U9" s="110" t="str">
        <f>IF($C9=0," ",IF(I9=0," ",IF('Valeurs Règlement Campagne'!$L$14="OUI",AND(I9&gt;=O9-2,I9&lt;=Q9+2),OR(I9=O9,I9=O9+5,I9=Q9))))</f>
        <v xml:space="preserve"> </v>
      </c>
      <c r="V9" s="281" t="str">
        <f t="shared" si="1"/>
        <v xml:space="preserve"> </v>
      </c>
      <c r="W9" s="282"/>
      <c r="X9" s="282" t="str">
        <f t="shared" si="2"/>
        <v xml:space="preserve"> </v>
      </c>
      <c r="Y9" s="282"/>
      <c r="Z9" s="282" t="str">
        <f t="shared" si="3"/>
        <v xml:space="preserve"> </v>
      </c>
      <c r="AA9" s="283"/>
      <c r="AB9" s="114" t="str">
        <f t="shared" si="4"/>
        <v/>
      </c>
      <c r="AC9" s="100" t="str">
        <f>IF(
  E9="Connues",
  IF(
    ABS(F9 - VLOOKUP(C9,'Valeurs Règlement Campagne'!$A$4:$T$7,12,FALSE))&lt;=2,
    VLOOKUP(C9,'Valeurs Règlement Campagne'!$A$4:$T$7,12,FALSE),
    IF(
      ABS(F9 - VLOOKUP(C9,'Valeurs Règlement Campagne'!$A$4:$T$7,13,FALSE))&lt;=2,
      VLOOKUP(C9,'Valeurs Règlement Campagne'!$A$4:$T$7,13,FALSE),
      IF(
        ABS(F9 - VLOOKUP(C9,'Valeurs Règlement Campagne'!$A$4:$T$7,14,FALSE))&lt;=2,
        VLOOKUP(C9,'Valeurs Règlement Campagne'!$A$4:$T$7,14,FALSE),
        ""
      )
    )
  ),
  ""
)</f>
        <v/>
      </c>
      <c r="AD9" s="100" t="str">
        <f>IF(
  E9="Connues",
  IF(
    ABS(G9 - VLOOKUP(C9,'Valeurs Règlement Campagne'!$A$4:$T$7,15,FALSE))&lt;=2,
    VLOOKUP(C9,'Valeurs Règlement Campagne'!$A$4:$T$7,15,FALSE),
    IF(
      ABS(G9 - VLOOKUP(C9,'Valeurs Règlement Campagne'!$A$4:$T$7,16,FALSE))&lt;=2,
      VLOOKUP(C9,'Valeurs Règlement Campagne'!$A$4:$T$7,16,FALSE),
      IF(
        ABS(G9 - VLOOKUP(C9,'Valeurs Règlement Campagne'!$A$4:$T$7,17,FALSE))&lt;=2,
        VLOOKUP(C9,'Valeurs Règlement Campagne'!$A$4:$T$7,17,FALSE),
        ""
      )
    )
  ),
  ""
)</f>
        <v/>
      </c>
      <c r="AE9" s="100" t="str">
        <f>IF(
  E9="Connues",
  IF(
    ABS(H9 - VLOOKUP(C9,'Valeurs Règlement Campagne'!$A$4:$T$7,15,FALSE))&lt;=2,
    VLOOKUP(C9,'Valeurs Règlement Campagne'!$A$4:$T$7,15,FALSE),
    IF(
      ABS(H9 - VLOOKUP(C9,'Valeurs Règlement Campagne'!$A$4:$T$7,16,FALSE))&lt;=2,
      VLOOKUP(C9,'Valeurs Règlement Campagne'!$A$4:$T$7,16,FALSE),
      IF(
        ABS(H9 - VLOOKUP(C9,'Valeurs Règlement Campagne'!$A$4:$T$7,17,FALSE))&lt;=2,
        VLOOKUP(C9,'Valeurs Règlement Campagne'!$A$4:$T$7,17,FALSE),
        ""
      )
    )
  ),
  ""
)</f>
        <v/>
      </c>
    </row>
    <row r="10" spans="1:31" ht="20.75" customHeight="1" thickBot="1">
      <c r="A10" s="213">
        <v>5</v>
      </c>
      <c r="B10" s="310"/>
      <c r="C10" s="279"/>
      <c r="D10" s="280"/>
      <c r="E10" s="61"/>
      <c r="F10" s="167"/>
      <c r="G10" s="168"/>
      <c r="H10" s="169"/>
      <c r="I10" s="175"/>
      <c r="J10" s="101"/>
      <c r="K10" s="102" t="str">
        <f>IF($E10=0," ",IF($E10=$D$31,VLOOKUP($C10,'Valeurs Règlement Campagne'!$A$4:$T$7,12,FALSE),VLOOKUP($C10,'Valeurs Règlement Campagne'!$A$4:$I$7,4,FALSE)))</f>
        <v xml:space="preserve"> </v>
      </c>
      <c r="L10" s="103" t="str">
        <f>IF($E10=0," ",IF($E10=$D$31,VLOOKUP($C10,'Valeurs Règlement Campagne'!$A$4:$T$7,14,FALSE),VLOOKUP($C10,'Valeurs Règlement Campagne'!$A$4:$L$7,5,FALSE)))</f>
        <v xml:space="preserve"> </v>
      </c>
      <c r="M10" s="102" t="str">
        <f>IF($E10=0," ",IF($E10=$D$31,VLOOKUP($C10,'Valeurs Règlement Campagne'!$A$4:$T$7,15,FALSE),VLOOKUP($C10,'Valeurs Règlement Campagne'!$A$4:$M$7,6,FALSE)))</f>
        <v xml:space="preserve"> </v>
      </c>
      <c r="N10" s="104" t="str">
        <f>IF($E10=0," ",IF($E10=$D$31,VLOOKUP($C10,'Valeurs Règlement Campagne'!$A$4:$T$7,17,FALSE),VLOOKUP($C10,'Valeurs Règlement Campagne'!$A$4:$N$7,7,FALSE)))</f>
        <v xml:space="preserve"> </v>
      </c>
      <c r="O10" s="105" t="str">
        <f>IF($E10=0," ",IF($E10=$D$31,VLOOKUP($C10,'Valeurs Règlement Campagne'!$A$4:$T$7,18,FALSE),VLOOKUP($C10,'Valeurs Règlement Campagne'!$A$4:$O$7,8,FALSE)))</f>
        <v xml:space="preserve"> </v>
      </c>
      <c r="P10" s="104" t="str">
        <f>IF($E10=0," ",IF($E10=$D$31,VLOOKUP($C10,'Valeurs Règlement Campagne'!$A$4:$T$7,20,FALSE),VLOOKUP($C10,'Valeurs Règlement Campagne'!$A$4:$P$7,9,FALSE)))</f>
        <v xml:space="preserve"> </v>
      </c>
      <c r="Q10" s="111" t="str">
        <f t="shared" si="0"/>
        <v xml:space="preserve"> </v>
      </c>
      <c r="R10" s="112" t="str" cm="1">
        <f t="array" ref="R10">IF(C10=0," ",IF(AND(E10="Connues",AC10&lt;&gt;"",COUNTIFS(AC$6:AC$29,AC10,C$6:C$29,C10)&gt;1),"Doublon",IF(AND(E10="Connues",SUMPRODUCT((E$6:E$29="Connues")*(C$6:C$29=C10)*(ROW($6:$29)&lt;&gt;ROW())*(ABS(F$6:F$29-F10)&lt;=2)*((ABS(F$6:F$29-VLOOKUP(C10,'Valeurs Règlement Campagne'!$A$4:$T$7,12,FALSE))&lt;=2)+(ABS(F$6:F$29-VLOOKUP(C10,'Valeurs Règlement Campagne'!$A$4:$T$7,13,FALSE))&lt;=2)+(ABS(F$6:F$29-VLOOKUP(C10,'Valeurs Règlement Campagne'!$A$4:$T$7,14,FALSE))&lt;=2)))&gt;0),"Doublon",IF($C10=0," ",IF(F10=0," ",IF(E10="Inconnues",AND(F10&gt;=K10,F10&lt;=L10),IF(AND('Valeurs Règlement Campagne'!$L$14="OUI",E10="Connues"),AND(F10&gt;=K10-2,F10&lt;=L10+2),OR(F10=K10,F10=K10+5,F10=L10))))))))</f>
        <v xml:space="preserve"> </v>
      </c>
      <c r="S10" s="113" t="str" cm="1">
        <f t="array" ref="S10">IF(C10=0," ",IF(AND(E10="Connues",AD10&lt;&gt;"",COUNTIFS(AD$6:AD$29,AD10,C$6:C$29,C10)&gt;1),"Doublon",IF(AND(E10="Connues",SUMPRODUCT((E$6:E$29="Connues")*(C$6:C$29=C10)*(ROW($6:$29)&lt;&gt;ROW())*(ABS(G$6:G$29-G10)&lt;=2)*((ABS(G$6:G$29-VLOOKUP(C10,'Valeurs Règlement Campagne'!$A$4:$T$7,15,FALSE))&lt;=2)+(ABS(G$6:G$29-VLOOKUP(C10,'Valeurs Règlement Campagne'!$A$4:$T$7,16,FALSE))&lt;=2)+(ABS(G$6:G$29-VLOOKUP(C10,'Valeurs Règlement Campagne'!$A$4:$T$7,17,FALSE))&lt;=2)))&gt;0),"Doublon",IF($C10=0," ",IF(G10=0," ",IF(E10="Inconnues",AND(G10&gt;=M10,G10&lt;=N10),IF(AND('Valeurs Règlement Campagne'!$L$14="OUI",E10="Connues"),AND(G10&gt;=M10-2,G10&lt;=N10+2),OR(G10=M10,G10=M10+5,G10=N10))))))))</f>
        <v xml:space="preserve"> </v>
      </c>
      <c r="T10" s="113" t="str" cm="1">
        <f t="array" ref="T10">IF(C10=0," ",IF(AND(E10="Connues",AE10&lt;&gt;"",COUNTIFS(AE$6:AE$29,AE10,C$6:C$29,C10)&gt;1),"Doublon",IF(AND(E10="Connues",SUMPRODUCT((E$6:E$29="Connues")*(C$6:C$29=C10)*(ROW($6:$29)&lt;&gt;ROW())*(ABS(H$6:H$29-H10)&lt;=2)*((ABS(H$6:H$29-VLOOKUP(C10,'Valeurs Règlement Campagne'!$A$4:$T$7,18,FALSE))&lt;=2)+(ABS(H$7:H$30-VLOOKUP(C10,'Valeurs Règlement Campagne'!$A$4:$T$7,19,FALSE))&lt;=2)+(ABS(H$6:H$29-VLOOKUP(C10,'Valeurs Règlement Campagne'!$A$4:$T$7,20,FALSE))&lt;=2)))&gt;0),"Doublon",IF($C10=0," ",IF(H10=0," ",IF(E10="Inconnues",AND(H10&gt;=O10,H10&lt;=P10),IF(AND('Valeurs Règlement Campagne'!$L$14="OUI",E10="Connues"),AND(H10&gt;=O10-2,H10&lt;=P10+2),OR(H10=O10,H10=O10+5,H10=P10))))))))</f>
        <v xml:space="preserve"> </v>
      </c>
      <c r="U10" s="110" t="str">
        <f>IF($C10=0," ",IF(I10=0," ",IF('Valeurs Règlement Campagne'!$L$14="OUI",AND(I10&gt;=O10-2,I10&lt;=Q10+2),OR(I10=O10,I10=O10+5,I10=Q10))))</f>
        <v xml:space="preserve"> </v>
      </c>
      <c r="V10" s="281" t="str">
        <f t="shared" si="1"/>
        <v xml:space="preserve"> </v>
      </c>
      <c r="W10" s="282"/>
      <c r="X10" s="282" t="str">
        <f t="shared" si="2"/>
        <v xml:space="preserve"> </v>
      </c>
      <c r="Y10" s="282"/>
      <c r="Z10" s="282" t="str">
        <f t="shared" si="3"/>
        <v xml:space="preserve"> </v>
      </c>
      <c r="AA10" s="283"/>
      <c r="AB10" s="114" t="str">
        <f>IF(AND(E10="Inconnues",LEFT(C10,1)="1",I10&gt;0),"Obligatoire",
IF(AND(E10="Connues",LEFT(C10,1)="1",I10&gt;=0),"Possible",
IF(AND(E10="Inconnues",LEFT(C10,1)="1",I10=0),"Manque orange","")))</f>
        <v/>
      </c>
      <c r="AC10" s="100" t="str">
        <f>IF(
  E10="Connues",
  IF(
    ABS(F10 - VLOOKUP(C10,'Valeurs Règlement Campagne'!$A$4:$T$7,12,FALSE))&lt;=2,
    VLOOKUP(C10,'Valeurs Règlement Campagne'!$A$4:$T$7,12,FALSE),
    IF(
      ABS(F10 - VLOOKUP(C10,'Valeurs Règlement Campagne'!$A$4:$T$7,13,FALSE))&lt;=2,
      VLOOKUP(C10,'Valeurs Règlement Campagne'!$A$4:$T$7,13,FALSE),
      IF(
        ABS(F10 - VLOOKUP(C10,'Valeurs Règlement Campagne'!$A$4:$T$7,14,FALSE))&lt;=2,
        VLOOKUP(C10,'Valeurs Règlement Campagne'!$A$4:$T$7,14,FALSE),
        ""
      )
    )
  ),
  ""
)</f>
        <v/>
      </c>
      <c r="AD10" s="100" t="str">
        <f>IF(
  E10="Connues",
  IF(
    ABS(G10 - VLOOKUP(C10,'Valeurs Règlement Campagne'!$A$4:$T$7,15,FALSE))&lt;=2,
    VLOOKUP(C10,'Valeurs Règlement Campagne'!$A$4:$T$7,15,FALSE),
    IF(
      ABS(G10 - VLOOKUP(C10,'Valeurs Règlement Campagne'!$A$4:$T$7,16,FALSE))&lt;=2,
      VLOOKUP(C10,'Valeurs Règlement Campagne'!$A$4:$T$7,16,FALSE),
      IF(
        ABS(G10 - VLOOKUP(C10,'Valeurs Règlement Campagne'!$A$4:$T$7,17,FALSE))&lt;=2,
        VLOOKUP(C10,'Valeurs Règlement Campagne'!$A$4:$T$7,17,FALSE),
        ""
      )
    )
  ),
  ""
)</f>
        <v/>
      </c>
      <c r="AE10" s="100" t="str">
        <f>IF(
  E10="Connues",
  IF(
    ABS(H10 - VLOOKUP(C10,'Valeurs Règlement Campagne'!$A$4:$T$7,15,FALSE))&lt;=2,
    VLOOKUP(C10,'Valeurs Règlement Campagne'!$A$4:$T$7,15,FALSE),
    IF(
      ABS(H10 - VLOOKUP(C10,'Valeurs Règlement Campagne'!$A$4:$T$7,16,FALSE))&lt;=2,
      VLOOKUP(C10,'Valeurs Règlement Campagne'!$A$4:$T$7,16,FALSE),
      IF(
        ABS(H10 - VLOOKUP(C10,'Valeurs Règlement Campagne'!$A$4:$T$7,17,FALSE))&lt;=2,
        VLOOKUP(C10,'Valeurs Règlement Campagne'!$A$4:$T$7,17,FALSE),
        ""
      )
    )
  ),
  ""
)</f>
        <v/>
      </c>
    </row>
    <row r="11" spans="1:31" ht="20.75" customHeight="1" thickBot="1">
      <c r="A11" s="213">
        <v>6</v>
      </c>
      <c r="B11" s="310"/>
      <c r="C11" s="279"/>
      <c r="D11" s="280"/>
      <c r="E11" s="61"/>
      <c r="F11" s="167"/>
      <c r="G11" s="168"/>
      <c r="H11" s="169"/>
      <c r="I11" s="175"/>
      <c r="J11" s="101"/>
      <c r="K11" s="102" t="str">
        <f>IF($E11=0," ",IF($E11=$D$31,VLOOKUP($C11,'Valeurs Règlement Campagne'!$A$4:$T$7,12,FALSE),VLOOKUP($C11,'Valeurs Règlement Campagne'!$A$4:$I$7,4,FALSE)))</f>
        <v xml:space="preserve"> </v>
      </c>
      <c r="L11" s="103" t="str">
        <f>IF($E11=0," ",IF($E11=$D$31,VLOOKUP($C11,'Valeurs Règlement Campagne'!$A$4:$T$7,14,FALSE),VLOOKUP($C11,'Valeurs Règlement Campagne'!$A$4:$L$7,5,FALSE)))</f>
        <v xml:space="preserve"> </v>
      </c>
      <c r="M11" s="102" t="str">
        <f>IF($E11=0," ",IF($E11=$D$31,VLOOKUP($C11,'Valeurs Règlement Campagne'!$A$4:$T$7,15,FALSE),VLOOKUP($C11,'Valeurs Règlement Campagne'!$A$4:$M$7,6,FALSE)))</f>
        <v xml:space="preserve"> </v>
      </c>
      <c r="N11" s="104" t="str">
        <f>IF($E11=0," ",IF($E11=$D$31,VLOOKUP($C11,'Valeurs Règlement Campagne'!$A$4:$T$7,17,FALSE),VLOOKUP($C11,'Valeurs Règlement Campagne'!$A$4:$N$7,7,FALSE)))</f>
        <v xml:space="preserve"> </v>
      </c>
      <c r="O11" s="105" t="str">
        <f>IF($E11=0," ",IF($E11=$D$31,VLOOKUP($C11,'Valeurs Règlement Campagne'!$A$4:$T$7,18,FALSE),VLOOKUP($C11,'Valeurs Règlement Campagne'!$A$4:$O$7,8,FALSE)))</f>
        <v xml:space="preserve"> </v>
      </c>
      <c r="P11" s="104" t="str">
        <f>IF($E11=0," ",IF($E11=$D$31,VLOOKUP($C11,'Valeurs Règlement Campagne'!$A$4:$T$7,20,FALSE),VLOOKUP($C11,'Valeurs Règlement Campagne'!$A$4:$P$7,9,FALSE)))</f>
        <v xml:space="preserve"> </v>
      </c>
      <c r="Q11" s="111" t="str">
        <f t="shared" si="0"/>
        <v xml:space="preserve"> </v>
      </c>
      <c r="R11" s="112" t="str" cm="1">
        <f t="array" ref="R11">IF(C11=0," ",IF(AND(E11="Connues",AC11&lt;&gt;"",COUNTIFS(AC$6:AC$29,AC11,C$6:C$29,C11)&gt;1),"Doublon",IF(AND(E11="Connues",SUMPRODUCT((E$6:E$29="Connues")*(C$6:C$29=C11)*(ROW($6:$29)&lt;&gt;ROW())*(ABS(F$6:F$29-F11)&lt;=2)*((ABS(F$6:F$29-VLOOKUP(C11,'Valeurs Règlement Campagne'!$A$4:$T$7,12,FALSE))&lt;=2)+(ABS(F$6:F$29-VLOOKUP(C11,'Valeurs Règlement Campagne'!$A$4:$T$7,13,FALSE))&lt;=2)+(ABS(F$6:F$29-VLOOKUP(C11,'Valeurs Règlement Campagne'!$A$4:$T$7,14,FALSE))&lt;=2)))&gt;0),"Doublon",IF($C11=0," ",IF(F11=0," ",IF(E11="Inconnues",AND(F11&gt;=K11,F11&lt;=L11),IF(AND('Valeurs Règlement Campagne'!$L$14="OUI",E11="Connues"),AND(F11&gt;=K11-2,F11&lt;=L11+2),OR(F11=K11,F11=K11+5,F11=L11))))))))</f>
        <v xml:space="preserve"> </v>
      </c>
      <c r="S11" s="113" t="str" cm="1">
        <f t="array" ref="S11">IF(C11=0," ",IF(AND(E11="Connues",AD11&lt;&gt;"",COUNTIFS(AD$6:AD$29,AD11,C$6:C$29,C11)&gt;1),"Doublon",IF(AND(E11="Connues",SUMPRODUCT((E$6:E$29="Connues")*(C$6:C$29=C11)*(ROW($6:$29)&lt;&gt;ROW())*(ABS(G$6:G$29-G11)&lt;=2)*((ABS(G$6:G$29-VLOOKUP(C11,'Valeurs Règlement Campagne'!$A$4:$T$7,15,FALSE))&lt;=2)+(ABS(G$6:G$29-VLOOKUP(C11,'Valeurs Règlement Campagne'!$A$4:$T$7,16,FALSE))&lt;=2)+(ABS(G$6:G$29-VLOOKUP(C11,'Valeurs Règlement Campagne'!$A$4:$T$7,17,FALSE))&lt;=2)))&gt;0),"Doublon",IF($C11=0," ",IF(G11=0," ",IF(E11="Inconnues",AND(G11&gt;=M11,G11&lt;=N11),IF(AND('Valeurs Règlement Campagne'!$L$14="OUI",E11="Connues"),AND(G11&gt;=M11-2,G11&lt;=N11+2),OR(G11=M11,G11=M11+5,G11=N11))))))))</f>
        <v xml:space="preserve"> </v>
      </c>
      <c r="T11" s="113" t="str" cm="1">
        <f t="array" ref="T11">IF(C11=0," ",IF(AND(E11="Connues",AE11&lt;&gt;"",COUNTIFS(AE$6:AE$29,AE11,C$6:C$29,C11)&gt;1),"Doublon",IF(AND(E11="Connues",SUMPRODUCT((E$6:E$29="Connues")*(C$6:C$29=C11)*(ROW($6:$29)&lt;&gt;ROW())*(ABS(H$6:H$29-H11)&lt;=2)*((ABS(H$6:H$29-VLOOKUP(C11,'Valeurs Règlement Campagne'!$A$4:$T$7,18,FALSE))&lt;=2)+(ABS(H$7:H$30-VLOOKUP(C11,'Valeurs Règlement Campagne'!$A$4:$T$7,19,FALSE))&lt;=2)+(ABS(H$6:H$29-VLOOKUP(C11,'Valeurs Règlement Campagne'!$A$4:$T$7,20,FALSE))&lt;=2)))&gt;0),"Doublon",IF($C11=0," ",IF(H11=0," ",IF(E11="Inconnues",AND(H11&gt;=O11,H11&lt;=P11),IF(AND('Valeurs Règlement Campagne'!$L$14="OUI",E11="Connues"),AND(H11&gt;=O11-2,H11&lt;=P11+2),OR(H11=O11,H11=O11+5,H11=P11))))))))</f>
        <v xml:space="preserve"> </v>
      </c>
      <c r="U11" s="110" t="str">
        <f>IF($C11=0," ",IF(I11=0," ",IF('Valeurs Règlement Campagne'!$L$14="OUI",AND(I11&gt;=O11-2,I11&lt;=Q11+2),OR(I11=O11,I11=O11+5,I11=Q11))))</f>
        <v xml:space="preserve"> </v>
      </c>
      <c r="V11" s="281" t="str">
        <f t="shared" si="1"/>
        <v xml:space="preserve"> </v>
      </c>
      <c r="W11" s="282"/>
      <c r="X11" s="282" t="str">
        <f t="shared" si="2"/>
        <v xml:space="preserve"> </v>
      </c>
      <c r="Y11" s="282"/>
      <c r="Z11" s="282" t="str">
        <f t="shared" si="3"/>
        <v xml:space="preserve"> </v>
      </c>
      <c r="AA11" s="283"/>
      <c r="AB11" s="114" t="str">
        <f t="shared" ref="AB11:AB29" si="5">IF(AND(E11="Inconnues",LEFT(C11,1)="1",I11&gt;0),"Obligatoire",
IF(AND(E11="Connues",LEFT(C11,1)="1",I11&gt;=0),"Possible",
IF(AND(E11="Inconnues",LEFT(C11,1)="1",I11=0),"Manque orange","")))</f>
        <v/>
      </c>
      <c r="AC11" s="100" t="str">
        <f>IF(
  E11="Connues",
  IF(
    ABS(F11 - VLOOKUP(C11,'Valeurs Règlement Campagne'!$A$4:$T$7,12,FALSE))&lt;=2,
    VLOOKUP(C11,'Valeurs Règlement Campagne'!$A$4:$T$7,12,FALSE),
    IF(
      ABS(F11 - VLOOKUP(C11,'Valeurs Règlement Campagne'!$A$4:$T$7,13,FALSE))&lt;=2,
      VLOOKUP(C11,'Valeurs Règlement Campagne'!$A$4:$T$7,13,FALSE),
      IF(
        ABS(F11 - VLOOKUP(C11,'Valeurs Règlement Campagne'!$A$4:$T$7,14,FALSE))&lt;=2,
        VLOOKUP(C11,'Valeurs Règlement Campagne'!$A$4:$T$7,14,FALSE),
        ""
      )
    )
  ),
  ""
)</f>
        <v/>
      </c>
      <c r="AD11" s="100" t="str">
        <f>IF(
  E11="Connues",
  IF(
    ABS(G11 - VLOOKUP(C11,'Valeurs Règlement Campagne'!$A$4:$T$7,15,FALSE))&lt;=2,
    VLOOKUP(C11,'Valeurs Règlement Campagne'!$A$4:$T$7,15,FALSE),
    IF(
      ABS(G11 - VLOOKUP(C11,'Valeurs Règlement Campagne'!$A$4:$T$7,16,FALSE))&lt;=2,
      VLOOKUP(C11,'Valeurs Règlement Campagne'!$A$4:$T$7,16,FALSE),
      IF(
        ABS(G11 - VLOOKUP(C11,'Valeurs Règlement Campagne'!$A$4:$T$7,17,FALSE))&lt;=2,
        VLOOKUP(C11,'Valeurs Règlement Campagne'!$A$4:$T$7,17,FALSE),
        ""
      )
    )
  ),
  ""
)</f>
        <v/>
      </c>
      <c r="AE11" s="100" t="str">
        <f>IF(
  E11="Connues",
  IF(
    ABS(H11 - VLOOKUP(C11,'Valeurs Règlement Campagne'!$A$4:$T$7,15,FALSE))&lt;=2,
    VLOOKUP(C11,'Valeurs Règlement Campagne'!$A$4:$T$7,15,FALSE),
    IF(
      ABS(H11 - VLOOKUP(C11,'Valeurs Règlement Campagne'!$A$4:$T$7,16,FALSE))&lt;=2,
      VLOOKUP(C11,'Valeurs Règlement Campagne'!$A$4:$T$7,16,FALSE),
      IF(
        ABS(H11 - VLOOKUP(C11,'Valeurs Règlement Campagne'!$A$4:$T$7,17,FALSE))&lt;=2,
        VLOOKUP(C11,'Valeurs Règlement Campagne'!$A$4:$T$7,17,FALSE),
        ""
      )
    )
  ),
  ""
)</f>
        <v/>
      </c>
    </row>
    <row r="12" spans="1:31" ht="20.75" customHeight="1" thickBot="1">
      <c r="A12" s="213">
        <v>7</v>
      </c>
      <c r="B12" s="310"/>
      <c r="C12" s="279"/>
      <c r="D12" s="280"/>
      <c r="E12" s="61"/>
      <c r="F12" s="167"/>
      <c r="G12" s="168"/>
      <c r="H12" s="169"/>
      <c r="I12" s="175"/>
      <c r="J12" s="101"/>
      <c r="K12" s="102" t="str">
        <f>IF($E12=0," ",IF($E12=$D$31,VLOOKUP($C12,'Valeurs Règlement Campagne'!$A$4:$T$7,12,FALSE),VLOOKUP($C12,'Valeurs Règlement Campagne'!$A$4:$I$7,4,FALSE)))</f>
        <v xml:space="preserve"> </v>
      </c>
      <c r="L12" s="103" t="str">
        <f>IF($E12=0," ",IF($E12=$D$31,VLOOKUP($C12,'Valeurs Règlement Campagne'!$A$4:$T$7,14,FALSE),VLOOKUP($C12,'Valeurs Règlement Campagne'!$A$4:$L$7,5,FALSE)))</f>
        <v xml:space="preserve"> </v>
      </c>
      <c r="M12" s="102" t="str">
        <f>IF($E12=0," ",IF($E12=$D$31,VLOOKUP($C12,'Valeurs Règlement Campagne'!$A$4:$T$7,15,FALSE),VLOOKUP($C12,'Valeurs Règlement Campagne'!$A$4:$M$7,6,FALSE)))</f>
        <v xml:space="preserve"> </v>
      </c>
      <c r="N12" s="104" t="str">
        <f>IF($E12=0," ",IF($E12=$D$31,VLOOKUP($C12,'Valeurs Règlement Campagne'!$A$4:$T$7,17,FALSE),VLOOKUP($C12,'Valeurs Règlement Campagne'!$A$4:$N$7,7,FALSE)))</f>
        <v xml:space="preserve"> </v>
      </c>
      <c r="O12" s="105" t="str">
        <f>IF($E12=0," ",IF($E12=$D$31,VLOOKUP($C12,'Valeurs Règlement Campagne'!$A$4:$T$7,18,FALSE),VLOOKUP($C12,'Valeurs Règlement Campagne'!$A$4:$O$7,8,FALSE)))</f>
        <v xml:space="preserve"> </v>
      </c>
      <c r="P12" s="104" t="str">
        <f>IF($E12=0," ",IF($E12=$D$31,VLOOKUP($C12,'Valeurs Règlement Campagne'!$A$4:$T$7,20,FALSE),VLOOKUP($C12,'Valeurs Règlement Campagne'!$A$4:$P$7,9,FALSE)))</f>
        <v xml:space="preserve"> </v>
      </c>
      <c r="Q12" s="111" t="str">
        <f t="shared" si="0"/>
        <v xml:space="preserve"> </v>
      </c>
      <c r="R12" s="112" t="str" cm="1">
        <f t="array" ref="R12">IF(C12=0," ",IF(AND(E12="Connues",AC12&lt;&gt;"",COUNTIFS(AC$6:AC$29,AC12,C$6:C$29,C12)&gt;1),"Doublon",IF(AND(E12="Connues",SUMPRODUCT((E$6:E$29="Connues")*(C$6:C$29=C12)*(ROW($6:$29)&lt;&gt;ROW())*(ABS(F$6:F$29-F12)&lt;=2)*((ABS(F$6:F$29-VLOOKUP(C12,'Valeurs Règlement Campagne'!$A$4:$T$7,12,FALSE))&lt;=2)+(ABS(F$6:F$29-VLOOKUP(C12,'Valeurs Règlement Campagne'!$A$4:$T$7,13,FALSE))&lt;=2)+(ABS(F$6:F$29-VLOOKUP(C12,'Valeurs Règlement Campagne'!$A$4:$T$7,14,FALSE))&lt;=2)))&gt;0),"Doublon",IF($C12=0," ",IF(F12=0," ",IF(E12="Inconnues",AND(F12&gt;=K12,F12&lt;=L12),IF(AND('Valeurs Règlement Campagne'!$L$14="OUI",E12="Connues"),AND(F12&gt;=K12-2,F12&lt;=L12+2),OR(F12=K12,F12=K12+5,F12=L12))))))))</f>
        <v xml:space="preserve"> </v>
      </c>
      <c r="S12" s="113" t="str" cm="1">
        <f t="array" ref="S12">IF(C12=0," ",IF(AND(E12="Connues",AD12&lt;&gt;"",COUNTIFS(AD$6:AD$29,AD12,C$6:C$29,C12)&gt;1),"Doublon",IF(AND(E12="Connues",SUMPRODUCT((E$6:E$29="Connues")*(C$6:C$29=C12)*(ROW($6:$29)&lt;&gt;ROW())*(ABS(G$6:G$29-G12)&lt;=2)*((ABS(G$6:G$29-VLOOKUP(C12,'Valeurs Règlement Campagne'!$A$4:$T$7,15,FALSE))&lt;=2)+(ABS(G$6:G$29-VLOOKUP(C12,'Valeurs Règlement Campagne'!$A$4:$T$7,16,FALSE))&lt;=2)+(ABS(G$6:G$29-VLOOKUP(C12,'Valeurs Règlement Campagne'!$A$4:$T$7,17,FALSE))&lt;=2)))&gt;0),"Doublon",IF($C12=0," ",IF(G12=0," ",IF(E12="Inconnues",AND(G12&gt;=M12,G12&lt;=N12),IF(AND('Valeurs Règlement Campagne'!$L$14="OUI",E12="Connues"),AND(G12&gt;=M12-2,G12&lt;=N12+2),OR(G12=M12,G12=M12+5,G12=N12))))))))</f>
        <v xml:space="preserve"> </v>
      </c>
      <c r="T12" s="113" t="str" cm="1">
        <f t="array" ref="T12">IF(C12=0," ",IF(AND(E12="Connues",AE12&lt;&gt;"",COUNTIFS(AE$6:AE$29,AE12,C$6:C$29,C12)&gt;1),"Doublon",IF(AND(E12="Connues",SUMPRODUCT((E$6:E$29="Connues")*(C$6:C$29=C12)*(ROW($6:$29)&lt;&gt;ROW())*(ABS(H$6:H$29-H12)&lt;=2)*((ABS(H$6:H$29-VLOOKUP(C12,'Valeurs Règlement Campagne'!$A$4:$T$7,18,FALSE))&lt;=2)+(ABS(H$7:H$30-VLOOKUP(C12,'Valeurs Règlement Campagne'!$A$4:$T$7,19,FALSE))&lt;=2)+(ABS(H$6:H$29-VLOOKUP(C12,'Valeurs Règlement Campagne'!$A$4:$T$7,20,FALSE))&lt;=2)))&gt;0),"Doublon",IF($C12=0," ",IF(H12=0," ",IF(E12="Inconnues",AND(H12&gt;=O12,H12&lt;=P12),IF(AND('Valeurs Règlement Campagne'!$L$14="OUI",E12="Connues"),AND(H12&gt;=O12-2,H12&lt;=P12+2),OR(H12=O12,H12=O12+5,H12=P12))))))))</f>
        <v xml:space="preserve"> </v>
      </c>
      <c r="U12" s="110" t="str">
        <f>IF($C12=0," ",IF(I12=0," ",IF('Valeurs Règlement Campagne'!$L$14="OUI",AND(I12&gt;=O12-2,I12&lt;=Q12+2),OR(I12=O12,I12=O12+5,I12=Q12))))</f>
        <v xml:space="preserve"> </v>
      </c>
      <c r="V12" s="281" t="str">
        <f>IF(OR(R12="Doublon",S12="Doublon"),"Doublon",IF(F12=0," ",IF(F12&gt;=G12,IF(AND(R12=TRUE,S12=TRUE),"ok","faux"),"faux")))</f>
        <v xml:space="preserve"> </v>
      </c>
      <c r="W12" s="282"/>
      <c r="X12" s="282" t="str">
        <f>IF(OR(S12="Doublon",T12="Doublon"),"Doublon",IF(G12=0," ",IF(G12&gt;=H12,IF(AND(S12=TRUE,T12=TRUE),"ok","faux"),"faux")))</f>
        <v xml:space="preserve"> </v>
      </c>
      <c r="Y12" s="282"/>
      <c r="Z12" s="282" t="str">
        <f>IF(OR(T12="Doublon",U12="Doublon"),"Doublon",IF(OR(H12=0,I12=0)," ",IF(H12&gt;=I12,IF(AND(T12=TRUE,U12=TRUE),"ok","faux"),"faux")))</f>
        <v xml:space="preserve"> </v>
      </c>
      <c r="AA12" s="283"/>
      <c r="AB12" s="114" t="str">
        <f t="shared" si="5"/>
        <v/>
      </c>
      <c r="AC12" s="100" t="str">
        <f>IF(
  E12="Connues",
  IF(
    ABS(F12 - VLOOKUP(C12,'Valeurs Règlement Campagne'!$A$4:$T$7,12,FALSE))&lt;=2,
    VLOOKUP(C12,'Valeurs Règlement Campagne'!$A$4:$T$7,12,FALSE),
    IF(
      ABS(F12 - VLOOKUP(C12,'Valeurs Règlement Campagne'!$A$4:$T$7,13,FALSE))&lt;=2,
      VLOOKUP(C12,'Valeurs Règlement Campagne'!$A$4:$T$7,13,FALSE),
      IF(
        ABS(F12 - VLOOKUP(C12,'Valeurs Règlement Campagne'!$A$4:$T$7,14,FALSE))&lt;=2,
        VLOOKUP(C12,'Valeurs Règlement Campagne'!$A$4:$T$7,14,FALSE),
        ""
      )
    )
  ),
  ""
)</f>
        <v/>
      </c>
      <c r="AD12" s="100" t="str">
        <f>IF(
  E12="Connues",
  IF(
    ABS(G12 - VLOOKUP(C12,'Valeurs Règlement Campagne'!$A$4:$T$7,15,FALSE))&lt;=2,
    VLOOKUP(C12,'Valeurs Règlement Campagne'!$A$4:$T$7,15,FALSE),
    IF(
      ABS(G12 - VLOOKUP(C12,'Valeurs Règlement Campagne'!$A$4:$T$7,16,FALSE))&lt;=2,
      VLOOKUP(C12,'Valeurs Règlement Campagne'!$A$4:$T$7,16,FALSE),
      IF(
        ABS(G12 - VLOOKUP(C12,'Valeurs Règlement Campagne'!$A$4:$T$7,17,FALSE))&lt;=2,
        VLOOKUP(C12,'Valeurs Règlement Campagne'!$A$4:$T$7,17,FALSE),
        ""
      )
    )
  ),
  ""
)</f>
        <v/>
      </c>
      <c r="AE12" s="100" t="str">
        <f>IF(
  E12="Connues",
  IF(
    ABS(H12 - VLOOKUP(C12,'Valeurs Règlement Campagne'!$A$4:$T$7,15,FALSE))&lt;=2,
    VLOOKUP(C12,'Valeurs Règlement Campagne'!$A$4:$T$7,15,FALSE),
    IF(
      ABS(H12 - VLOOKUP(C12,'Valeurs Règlement Campagne'!$A$4:$T$7,16,FALSE))&lt;=2,
      VLOOKUP(C12,'Valeurs Règlement Campagne'!$A$4:$T$7,16,FALSE),
      IF(
        ABS(H12 - VLOOKUP(C12,'Valeurs Règlement Campagne'!$A$4:$T$7,17,FALSE))&lt;=2,
        VLOOKUP(C12,'Valeurs Règlement Campagne'!$A$4:$T$7,17,FALSE),
        ""
      )
    )
  ),
  ""
)</f>
        <v/>
      </c>
    </row>
    <row r="13" spans="1:31" ht="20.75" customHeight="1" thickBot="1">
      <c r="A13" s="213">
        <v>8</v>
      </c>
      <c r="B13" s="310"/>
      <c r="C13" s="279"/>
      <c r="D13" s="280"/>
      <c r="E13" s="61"/>
      <c r="F13" s="167"/>
      <c r="G13" s="168"/>
      <c r="H13" s="169"/>
      <c r="I13" s="175"/>
      <c r="J13" s="101"/>
      <c r="K13" s="102" t="str">
        <f>IF($E13=0," ",IF($E13=$D$31,VLOOKUP($C13,'Valeurs Règlement Campagne'!$A$4:$T$7,12,FALSE),VLOOKUP($C13,'Valeurs Règlement Campagne'!$A$4:$I$7,4,FALSE)))</f>
        <v xml:space="preserve"> </v>
      </c>
      <c r="L13" s="103" t="str">
        <f>IF($E13=0," ",IF($E13=$D$31,VLOOKUP($C13,'Valeurs Règlement Campagne'!$A$4:$T$7,14,FALSE),VLOOKUP($C13,'Valeurs Règlement Campagne'!$A$4:$L$7,5,FALSE)))</f>
        <v xml:space="preserve"> </v>
      </c>
      <c r="M13" s="102" t="str">
        <f>IF($E13=0," ",IF($E13=$D$31,VLOOKUP($C13,'Valeurs Règlement Campagne'!$A$4:$T$7,15,FALSE),VLOOKUP($C13,'Valeurs Règlement Campagne'!$A$4:$M$7,6,FALSE)))</f>
        <v xml:space="preserve"> </v>
      </c>
      <c r="N13" s="104" t="str">
        <f>IF($E13=0," ",IF($E13=$D$31,VLOOKUP($C13,'Valeurs Règlement Campagne'!$A$4:$T$7,17,FALSE),VLOOKUP($C13,'Valeurs Règlement Campagne'!$A$4:$N$7,7,FALSE)))</f>
        <v xml:space="preserve"> </v>
      </c>
      <c r="O13" s="105" t="str">
        <f>IF($E13=0," ",IF($E13=$D$31,VLOOKUP($C13,'Valeurs Règlement Campagne'!$A$4:$T$7,18,FALSE),VLOOKUP($C13,'Valeurs Règlement Campagne'!$A$4:$O$7,8,FALSE)))</f>
        <v xml:space="preserve"> </v>
      </c>
      <c r="P13" s="104" t="str">
        <f>IF($E13=0," ",IF($E13=$D$31,VLOOKUP($C13,'Valeurs Règlement Campagne'!$A$4:$T$7,20,FALSE),VLOOKUP($C13,'Valeurs Règlement Campagne'!$A$4:$P$7,9,FALSE)))</f>
        <v xml:space="preserve"> </v>
      </c>
      <c r="Q13" s="111" t="str">
        <f t="shared" si="0"/>
        <v xml:space="preserve"> </v>
      </c>
      <c r="R13" s="112" t="str" cm="1">
        <f t="array" ref="R13">IF(C13=0," ",IF(AND(E13="Connues",AC13&lt;&gt;"",COUNTIFS(AC$6:AC$29,AC13,C$6:C$29,C13)&gt;1),"Doublon",IF(AND(E13="Connues",SUMPRODUCT((E$6:E$29="Connues")*(C$6:C$29=C13)*(ROW($6:$29)&lt;&gt;ROW())*(ABS(F$6:F$29-F13)&lt;=2)*((ABS(F$6:F$29-VLOOKUP(C13,'Valeurs Règlement Campagne'!$A$4:$T$7,12,FALSE))&lt;=2)+(ABS(F$6:F$29-VLOOKUP(C13,'Valeurs Règlement Campagne'!$A$4:$T$7,13,FALSE))&lt;=2)+(ABS(F$6:F$29-VLOOKUP(C13,'Valeurs Règlement Campagne'!$A$4:$T$7,14,FALSE))&lt;=2)))&gt;0),"Doublon",IF($C13=0," ",IF(F13=0," ",IF(E13="Inconnues",AND(F13&gt;=K13,F13&lt;=L13),IF(AND('Valeurs Règlement Campagne'!$L$14="OUI",E13="Connues"),AND(F13&gt;=K13-2,F13&lt;=L13+2),OR(F13=K13,F13=K13+5,F13=L13))))))))</f>
        <v xml:space="preserve"> </v>
      </c>
      <c r="S13" s="113" t="str" cm="1">
        <f t="array" ref="S13">IF(C13=0," ",IF(AND(E13="Connues",AD13&lt;&gt;"",COUNTIFS(AD$6:AD$29,AD13,C$6:C$29,C13)&gt;1),"Doublon",IF(AND(E13="Connues",SUMPRODUCT((E$6:E$29="Connues")*(C$6:C$29=C13)*(ROW($6:$29)&lt;&gt;ROW())*(ABS(G$6:G$29-G13)&lt;=2)*((ABS(G$6:G$29-VLOOKUP(C13,'Valeurs Règlement Campagne'!$A$4:$T$7,15,FALSE))&lt;=2)+(ABS(G$6:G$29-VLOOKUP(C13,'Valeurs Règlement Campagne'!$A$4:$T$7,16,FALSE))&lt;=2)+(ABS(G$6:G$29-VLOOKUP(C13,'Valeurs Règlement Campagne'!$A$4:$T$7,17,FALSE))&lt;=2)))&gt;0),"Doublon",IF($C13=0," ",IF(G13=0," ",IF(E13="Inconnues",AND(G13&gt;=M13,G13&lt;=N13),IF(AND('Valeurs Règlement Campagne'!$L$14="OUI",E13="Connues"),AND(G13&gt;=M13-2,G13&lt;=N13+2),OR(G13=M13,G13=M13+5,G13=N13))))))))</f>
        <v xml:space="preserve"> </v>
      </c>
      <c r="T13" s="113" t="str" cm="1">
        <f t="array" ref="T13">IF(C13=0," ",IF(AND(E13="Connues",AE13&lt;&gt;"",COUNTIFS(AE$6:AE$29,AE13,C$6:C$29,C13)&gt;1),"Doublon",IF(AND(E13="Connues",SUMPRODUCT((E$6:E$29="Connues")*(C$6:C$29=C13)*(ROW($6:$29)&lt;&gt;ROW())*(ABS(H$6:H$29-H13)&lt;=2)*((ABS(H$6:H$29-VLOOKUP(C13,'Valeurs Règlement Campagne'!$A$4:$T$7,18,FALSE))&lt;=2)+(ABS(H$7:H$30-VLOOKUP(C13,'Valeurs Règlement Campagne'!$A$4:$T$7,19,FALSE))&lt;=2)+(ABS(H$6:H$29-VLOOKUP(C13,'Valeurs Règlement Campagne'!$A$4:$T$7,20,FALSE))&lt;=2)))&gt;0),"Doublon",IF($C13=0," ",IF(H13=0," ",IF(E13="Inconnues",AND(H13&gt;=O13,H13&lt;=P13),IF(AND('Valeurs Règlement Campagne'!$L$14="OUI",E13="Connues"),AND(H13&gt;=O13-2,H13&lt;=P13+2),OR(H13=O13,H13=O13+5,H13=P13))))))))</f>
        <v xml:space="preserve"> </v>
      </c>
      <c r="U13" s="110" t="str">
        <f>IF($C13=0," ",IF(I13=0," ",IF('Valeurs Règlement Campagne'!$L$14="OUI",AND(I13&gt;=O13-2,I13&lt;=Q13+2),OR(I13=O13,I13=O13+5,I13=Q13))))</f>
        <v xml:space="preserve"> </v>
      </c>
      <c r="V13" s="281" t="str">
        <f t="shared" ref="V13:V29" si="6">IF(OR(R13="Doublon",S13="Doublon"),"Doublon",IF(F13=0," ",IF(F13&gt;=G13,IF(AND(R13=TRUE,S13=TRUE),"ok","faux"),"faux")))</f>
        <v xml:space="preserve"> </v>
      </c>
      <c r="W13" s="282"/>
      <c r="X13" s="282" t="str">
        <f t="shared" ref="X13:X29" si="7">IF(OR(S13="Doublon",T13="Doublon"),"Doublon",IF(G13=0," ",IF(G13&gt;=H13,IF(AND(S13=TRUE,T13=TRUE),"ok","faux"),"faux")))</f>
        <v xml:space="preserve"> </v>
      </c>
      <c r="Y13" s="282"/>
      <c r="Z13" s="282" t="str">
        <f t="shared" ref="Z13:Z29" si="8">IF(OR(T13="Doublon",U13="Doublon"),"Doublon",IF(OR(H13=0,I13=0)," ",IF(H13&gt;=I13,IF(AND(T13=TRUE,U13=TRUE),"ok","faux"),"faux")))</f>
        <v xml:space="preserve"> </v>
      </c>
      <c r="AA13" s="283"/>
      <c r="AB13" s="114" t="str">
        <f t="shared" si="5"/>
        <v/>
      </c>
      <c r="AC13" s="100" t="str">
        <f>IF(
  E13="Connues",
  IF(
    ABS(F13 - VLOOKUP(C13,'Valeurs Règlement Campagne'!$A$4:$T$7,12,FALSE))&lt;=2,
    VLOOKUP(C13,'Valeurs Règlement Campagne'!$A$4:$T$7,12,FALSE),
    IF(
      ABS(F13 - VLOOKUP(C13,'Valeurs Règlement Campagne'!$A$4:$T$7,13,FALSE))&lt;=2,
      VLOOKUP(C13,'Valeurs Règlement Campagne'!$A$4:$T$7,13,FALSE),
      IF(
        ABS(F13 - VLOOKUP(C13,'Valeurs Règlement Campagne'!$A$4:$T$7,14,FALSE))&lt;=2,
        VLOOKUP(C13,'Valeurs Règlement Campagne'!$A$4:$T$7,14,FALSE),
        ""
      )
    )
  ),
  ""
)</f>
        <v/>
      </c>
      <c r="AD13" s="100" t="str">
        <f>IF(
  E13="Connues",
  IF(
    ABS(G13 - VLOOKUP(C13,'Valeurs Règlement Campagne'!$A$4:$T$7,15,FALSE))&lt;=2,
    VLOOKUP(C13,'Valeurs Règlement Campagne'!$A$4:$T$7,15,FALSE),
    IF(
      ABS(G13 - VLOOKUP(C13,'Valeurs Règlement Campagne'!$A$4:$T$7,16,FALSE))&lt;=2,
      VLOOKUP(C13,'Valeurs Règlement Campagne'!$A$4:$T$7,16,FALSE),
      IF(
        ABS(G13 - VLOOKUP(C13,'Valeurs Règlement Campagne'!$A$4:$T$7,17,FALSE))&lt;=2,
        VLOOKUP(C13,'Valeurs Règlement Campagne'!$A$4:$T$7,17,FALSE),
        ""
      )
    )
  ),
  ""
)</f>
        <v/>
      </c>
      <c r="AE13" s="100" t="str">
        <f>IF(
  E13="Connues",
  IF(
    ABS(H13 - VLOOKUP(C13,'Valeurs Règlement Campagne'!$A$4:$T$7,15,FALSE))&lt;=2,
    VLOOKUP(C13,'Valeurs Règlement Campagne'!$A$4:$T$7,15,FALSE),
    IF(
      ABS(H13 - VLOOKUP(C13,'Valeurs Règlement Campagne'!$A$4:$T$7,16,FALSE))&lt;=2,
      VLOOKUP(C13,'Valeurs Règlement Campagne'!$A$4:$T$7,16,FALSE),
      IF(
        ABS(H13 - VLOOKUP(C13,'Valeurs Règlement Campagne'!$A$4:$T$7,17,FALSE))&lt;=2,
        VLOOKUP(C13,'Valeurs Règlement Campagne'!$A$4:$T$7,17,FALSE),
        ""
      )
    )
  ),
  ""
)</f>
        <v/>
      </c>
    </row>
    <row r="14" spans="1:31" ht="20.75" customHeight="1" thickBot="1">
      <c r="A14" s="213">
        <v>9</v>
      </c>
      <c r="B14" s="310"/>
      <c r="C14" s="279"/>
      <c r="D14" s="280"/>
      <c r="E14" s="61"/>
      <c r="F14" s="167"/>
      <c r="G14" s="168"/>
      <c r="H14" s="169"/>
      <c r="I14" s="175"/>
      <c r="J14" s="101"/>
      <c r="K14" s="102" t="str">
        <f>IF($E14=0," ",IF($E14=$D$31,VLOOKUP($C14,'Valeurs Règlement Campagne'!$A$4:$T$7,12,FALSE),VLOOKUP($C14,'Valeurs Règlement Campagne'!$A$4:$I$7,4,FALSE)))</f>
        <v xml:space="preserve"> </v>
      </c>
      <c r="L14" s="103" t="str">
        <f>IF($E14=0," ",IF($E14=$D$31,VLOOKUP($C14,'Valeurs Règlement Campagne'!$A$4:$T$7,14,FALSE),VLOOKUP($C14,'Valeurs Règlement Campagne'!$A$4:$L$7,5,FALSE)))</f>
        <v xml:space="preserve"> </v>
      </c>
      <c r="M14" s="102" t="str">
        <f>IF($E14=0," ",IF($E14=$D$31,VLOOKUP($C14,'Valeurs Règlement Campagne'!$A$4:$T$7,15,FALSE),VLOOKUP($C14,'Valeurs Règlement Campagne'!$A$4:$M$7,6,FALSE)))</f>
        <v xml:space="preserve"> </v>
      </c>
      <c r="N14" s="104" t="str">
        <f>IF($E14=0," ",IF($E14=$D$31,VLOOKUP($C14,'Valeurs Règlement Campagne'!$A$4:$T$7,17,FALSE),VLOOKUP($C14,'Valeurs Règlement Campagne'!$A$4:$N$7,7,FALSE)))</f>
        <v xml:space="preserve"> </v>
      </c>
      <c r="O14" s="105" t="str">
        <f>IF($E14=0," ",IF($E14=$D$31,VLOOKUP($C14,'Valeurs Règlement Campagne'!$A$4:$T$7,18,FALSE),VLOOKUP($C14,'Valeurs Règlement Campagne'!$A$4:$O$7,8,FALSE)))</f>
        <v xml:space="preserve"> </v>
      </c>
      <c r="P14" s="104" t="str">
        <f>IF($E14=0," ",IF($E14=$D$31,VLOOKUP($C14,'Valeurs Règlement Campagne'!$A$4:$T$7,20,FALSE),VLOOKUP($C14,'Valeurs Règlement Campagne'!$A$4:$P$7,9,FALSE)))</f>
        <v xml:space="preserve"> </v>
      </c>
      <c r="Q14" s="111" t="str">
        <f t="shared" si="0"/>
        <v xml:space="preserve"> </v>
      </c>
      <c r="R14" s="112" t="str" cm="1">
        <f t="array" ref="R14">IF(C14=0," ",IF(AND(E14="Connues",AC14&lt;&gt;"",COUNTIFS(AC$6:AC$29,AC14,C$6:C$29,C14)&gt;1),"Doublon",IF(AND(E14="Connues",SUMPRODUCT((E$6:E$29="Connues")*(C$6:C$29=C14)*(ROW($6:$29)&lt;&gt;ROW())*(ABS(F$6:F$29-F14)&lt;=2)*((ABS(F$6:F$29-VLOOKUP(C14,'Valeurs Règlement Campagne'!$A$4:$T$7,12,FALSE))&lt;=2)+(ABS(F$6:F$29-VLOOKUP(C14,'Valeurs Règlement Campagne'!$A$4:$T$7,13,FALSE))&lt;=2)+(ABS(F$6:F$29-VLOOKUP(C14,'Valeurs Règlement Campagne'!$A$4:$T$7,14,FALSE))&lt;=2)))&gt;0),"Doublon",IF($C14=0," ",IF(F14=0," ",IF(E14="Inconnues",AND(F14&gt;=K14,F14&lt;=L14),IF(AND('Valeurs Règlement Campagne'!$L$14="OUI",E14="Connues"),AND(F14&gt;=K14-2,F14&lt;=L14+2),OR(F14=K14,F14=K14+5,F14=L14))))))))</f>
        <v xml:space="preserve"> </v>
      </c>
      <c r="S14" s="113" t="str" cm="1">
        <f t="array" ref="S14">IF(C14=0," ",IF(AND(E14="Connues",AD14&lt;&gt;"",COUNTIFS(AD$6:AD$29,AD14,C$6:C$29,C14)&gt;1),"Doublon",IF(AND(E14="Connues",SUMPRODUCT((E$6:E$29="Connues")*(C$6:C$29=C14)*(ROW($6:$29)&lt;&gt;ROW())*(ABS(G$6:G$29-G14)&lt;=2)*((ABS(G$6:G$29-VLOOKUP(C14,'Valeurs Règlement Campagne'!$A$4:$T$7,15,FALSE))&lt;=2)+(ABS(G$6:G$29-VLOOKUP(C14,'Valeurs Règlement Campagne'!$A$4:$T$7,16,FALSE))&lt;=2)+(ABS(G$6:G$29-VLOOKUP(C14,'Valeurs Règlement Campagne'!$A$4:$T$7,17,FALSE))&lt;=2)))&gt;0),"Doublon",IF($C14=0," ",IF(G14=0," ",IF(E14="Inconnues",AND(G14&gt;=M14,G14&lt;=N14),IF(AND('Valeurs Règlement Campagne'!$L$14="OUI",E14="Connues"),AND(G14&gt;=M14-2,G14&lt;=N14+2),OR(G14=M14,G14=M14+5,G14=N14))))))))</f>
        <v xml:space="preserve"> </v>
      </c>
      <c r="T14" s="113" t="str" cm="1">
        <f t="array" ref="T14">IF(C14=0," ",IF(AND(E14="Connues",AE14&lt;&gt;"",COUNTIFS(AE$6:AE$29,AE14,C$6:C$29,C14)&gt;1),"Doublon",IF(AND(E14="Connues",SUMPRODUCT((E$6:E$29="Connues")*(C$6:C$29=C14)*(ROW($6:$29)&lt;&gt;ROW())*(ABS(H$6:H$29-H14)&lt;=2)*((ABS(H$6:H$29-VLOOKUP(C14,'Valeurs Règlement Campagne'!$A$4:$T$7,18,FALSE))&lt;=2)+(ABS(H$7:H$30-VLOOKUP(C14,'Valeurs Règlement Campagne'!$A$4:$T$7,19,FALSE))&lt;=2)+(ABS(H$6:H$29-VLOOKUP(C14,'Valeurs Règlement Campagne'!$A$4:$T$7,20,FALSE))&lt;=2)))&gt;0),"Doublon",IF($C14=0," ",IF(H14=0," ",IF(E14="Inconnues",AND(H14&gt;=O14,H14&lt;=P14),IF(AND('Valeurs Règlement Campagne'!$L$14="OUI",E14="Connues"),AND(H14&gt;=O14-2,H14&lt;=P14+2),OR(H14=O14,H14=O14+5,H14=P14))))))))</f>
        <v xml:space="preserve"> </v>
      </c>
      <c r="U14" s="110" t="str">
        <f>IF($C14=0," ",IF(I14=0," ",IF('Valeurs Règlement Campagne'!$L$14="OUI",AND(I14&gt;=O14-2,I14&lt;=Q14+2),OR(I14=O14,I14=O14+5,I14=Q14))))</f>
        <v xml:space="preserve"> </v>
      </c>
      <c r="V14" s="281" t="str">
        <f t="shared" si="6"/>
        <v xml:space="preserve"> </v>
      </c>
      <c r="W14" s="282"/>
      <c r="X14" s="282" t="str">
        <f t="shared" si="7"/>
        <v xml:space="preserve"> </v>
      </c>
      <c r="Y14" s="282"/>
      <c r="Z14" s="282" t="str">
        <f t="shared" si="8"/>
        <v xml:space="preserve"> </v>
      </c>
      <c r="AA14" s="283"/>
      <c r="AB14" s="114" t="str">
        <f t="shared" si="5"/>
        <v/>
      </c>
      <c r="AC14" s="100" t="str">
        <f>IF(
  E14="Connues",
  IF(
    ABS(F14 - VLOOKUP(C14,'Valeurs Règlement Campagne'!$A$4:$T$7,12,FALSE))&lt;=2,
    VLOOKUP(C14,'Valeurs Règlement Campagne'!$A$4:$T$7,12,FALSE),
    IF(
      ABS(F14 - VLOOKUP(C14,'Valeurs Règlement Campagne'!$A$4:$T$7,13,FALSE))&lt;=2,
      VLOOKUP(C14,'Valeurs Règlement Campagne'!$A$4:$T$7,13,FALSE),
      IF(
        ABS(F14 - VLOOKUP(C14,'Valeurs Règlement Campagne'!$A$4:$T$7,14,FALSE))&lt;=2,
        VLOOKUP(C14,'Valeurs Règlement Campagne'!$A$4:$T$7,14,FALSE),
        ""
      )
    )
  ),
  ""
)</f>
        <v/>
      </c>
      <c r="AD14" s="100" t="str">
        <f>IF(
  E14="Connues",
  IF(
    ABS(G14 - VLOOKUP(C14,'Valeurs Règlement Campagne'!$A$4:$T$7,15,FALSE))&lt;=2,
    VLOOKUP(C14,'Valeurs Règlement Campagne'!$A$4:$T$7,15,FALSE),
    IF(
      ABS(G14 - VLOOKUP(C14,'Valeurs Règlement Campagne'!$A$4:$T$7,16,FALSE))&lt;=2,
      VLOOKUP(C14,'Valeurs Règlement Campagne'!$A$4:$T$7,16,FALSE),
      IF(
        ABS(G14 - VLOOKUP(C14,'Valeurs Règlement Campagne'!$A$4:$T$7,17,FALSE))&lt;=2,
        VLOOKUP(C14,'Valeurs Règlement Campagne'!$A$4:$T$7,17,FALSE),
        ""
      )
    )
  ),
  ""
)</f>
        <v/>
      </c>
      <c r="AE14" s="100" t="str">
        <f>IF(
  E14="Connues",
  IF(
    ABS(H14 - VLOOKUP(C14,'Valeurs Règlement Campagne'!$A$4:$T$7,15,FALSE))&lt;=2,
    VLOOKUP(C14,'Valeurs Règlement Campagne'!$A$4:$T$7,15,FALSE),
    IF(
      ABS(H14 - VLOOKUP(C14,'Valeurs Règlement Campagne'!$A$4:$T$7,16,FALSE))&lt;=2,
      VLOOKUP(C14,'Valeurs Règlement Campagne'!$A$4:$T$7,16,FALSE),
      IF(
        ABS(H14 - VLOOKUP(C14,'Valeurs Règlement Campagne'!$A$4:$T$7,17,FALSE))&lt;=2,
        VLOOKUP(C14,'Valeurs Règlement Campagne'!$A$4:$T$7,17,FALSE),
        ""
      )
    )
  ),
  ""
)</f>
        <v/>
      </c>
    </row>
    <row r="15" spans="1:31" ht="20.75" customHeight="1" thickBot="1">
      <c r="A15" s="213">
        <v>10</v>
      </c>
      <c r="B15" s="310"/>
      <c r="C15" s="279"/>
      <c r="D15" s="280"/>
      <c r="E15" s="61"/>
      <c r="F15" s="167"/>
      <c r="G15" s="168"/>
      <c r="H15" s="169"/>
      <c r="I15" s="175"/>
      <c r="J15" s="101"/>
      <c r="K15" s="102" t="str">
        <f>IF($E15=0," ",IF($E15=$D$31,VLOOKUP($C15,'Valeurs Règlement Campagne'!$A$4:$T$7,12,FALSE),VLOOKUP($C15,'Valeurs Règlement Campagne'!$A$4:$I$7,4,FALSE)))</f>
        <v xml:space="preserve"> </v>
      </c>
      <c r="L15" s="103" t="str">
        <f>IF($E15=0," ",IF($E15=$D$31,VLOOKUP($C15,'Valeurs Règlement Campagne'!$A$4:$T$7,14,FALSE),VLOOKUP($C15,'Valeurs Règlement Campagne'!$A$4:$L$7,5,FALSE)))</f>
        <v xml:space="preserve"> </v>
      </c>
      <c r="M15" s="102" t="str">
        <f>IF($E15=0," ",IF($E15=$D$31,VLOOKUP($C15,'Valeurs Règlement Campagne'!$A$4:$T$7,15,FALSE),VLOOKUP($C15,'Valeurs Règlement Campagne'!$A$4:$M$7,6,FALSE)))</f>
        <v xml:space="preserve"> </v>
      </c>
      <c r="N15" s="104" t="str">
        <f>IF($E15=0," ",IF($E15=$D$31,VLOOKUP($C15,'Valeurs Règlement Campagne'!$A$4:$T$7,17,FALSE),VLOOKUP($C15,'Valeurs Règlement Campagne'!$A$4:$N$7,7,FALSE)))</f>
        <v xml:space="preserve"> </v>
      </c>
      <c r="O15" s="105" t="str">
        <f>IF($E15=0," ",IF($E15=$D$31,VLOOKUP($C15,'Valeurs Règlement Campagne'!$A$4:$T$7,18,FALSE),VLOOKUP($C15,'Valeurs Règlement Campagne'!$A$4:$O$7,8,FALSE)))</f>
        <v xml:space="preserve"> </v>
      </c>
      <c r="P15" s="104" t="str">
        <f>IF($E15=0," ",IF($E15=$D$31,VLOOKUP($C15,'Valeurs Règlement Campagne'!$A$4:$T$7,20,FALSE),VLOOKUP($C15,'Valeurs Règlement Campagne'!$A$4:$P$7,9,FALSE)))</f>
        <v xml:space="preserve"> </v>
      </c>
      <c r="Q15" s="111" t="str">
        <f t="shared" si="0"/>
        <v xml:space="preserve"> </v>
      </c>
      <c r="R15" s="112" t="str" cm="1">
        <f t="array" ref="R15">IF(C15=0," ",IF(AND(E15="Connues",AC15&lt;&gt;"",COUNTIFS(AC$6:AC$29,AC15,C$6:C$29,C15)&gt;1),"Doublon",IF(AND(E15="Connues",SUMPRODUCT((E$6:E$29="Connues")*(C$6:C$29=C15)*(ROW($6:$29)&lt;&gt;ROW())*(ABS(F$6:F$29-F15)&lt;=2)*((ABS(F$6:F$29-VLOOKUP(C15,'Valeurs Règlement Campagne'!$A$4:$T$7,12,FALSE))&lt;=2)+(ABS(F$6:F$29-VLOOKUP(C15,'Valeurs Règlement Campagne'!$A$4:$T$7,13,FALSE))&lt;=2)+(ABS(F$6:F$29-VLOOKUP(C15,'Valeurs Règlement Campagne'!$A$4:$T$7,14,FALSE))&lt;=2)))&gt;0),"Doublon",IF($C15=0," ",IF(F15=0," ",IF(E15="Inconnues",AND(F15&gt;=K15,F15&lt;=L15),IF(AND('Valeurs Règlement Campagne'!$L$14="OUI",E15="Connues"),AND(F15&gt;=K15-2,F15&lt;=L15+2),OR(F15=K15,F15=K15+5,F15=L15))))))))</f>
        <v xml:space="preserve"> </v>
      </c>
      <c r="S15" s="113" t="str" cm="1">
        <f t="array" ref="S15">IF(C15=0," ",IF(AND(E15="Connues",AD15&lt;&gt;"",COUNTIFS(AD$6:AD$29,AD15,C$6:C$29,C15)&gt;1),"Doublon",IF(AND(E15="Connues",SUMPRODUCT((E$6:E$29="Connues")*(C$6:C$29=C15)*(ROW($6:$29)&lt;&gt;ROW())*(ABS(G$6:G$29-G15)&lt;=2)*((ABS(G$6:G$29-VLOOKUP(C15,'Valeurs Règlement Campagne'!$A$4:$T$7,15,FALSE))&lt;=2)+(ABS(G$6:G$29-VLOOKUP(C15,'Valeurs Règlement Campagne'!$A$4:$T$7,16,FALSE))&lt;=2)+(ABS(G$6:G$29-VLOOKUP(C15,'Valeurs Règlement Campagne'!$A$4:$T$7,17,FALSE))&lt;=2)))&gt;0),"Doublon",IF($C15=0," ",IF(G15=0," ",IF(E15="Inconnues",AND(G15&gt;=M15,G15&lt;=N15),IF(AND('Valeurs Règlement Campagne'!$L$14="OUI",E15="Connues"),AND(G15&gt;=M15-2,G15&lt;=N15+2),OR(G15=M15,G15=M15+5,G15=N15))))))))</f>
        <v xml:space="preserve"> </v>
      </c>
      <c r="T15" s="113" t="str" cm="1">
        <f t="array" ref="T15">IF(C15=0," ",IF(AND(E15="Connues",AE15&lt;&gt;"",COUNTIFS(AE$6:AE$29,AE15,C$6:C$29,C15)&gt;1),"Doublon",IF(AND(E15="Connues",SUMPRODUCT((E$6:E$29="Connues")*(C$6:C$29=C15)*(ROW($6:$29)&lt;&gt;ROW())*(ABS(H$6:H$29-H15)&lt;=2)*((ABS(H$6:H$29-VLOOKUP(C15,'Valeurs Règlement Campagne'!$A$4:$T$7,18,FALSE))&lt;=2)+(ABS(H$7:H$30-VLOOKUP(C15,'Valeurs Règlement Campagne'!$A$4:$T$7,19,FALSE))&lt;=2)+(ABS(H$6:H$29-VLOOKUP(C15,'Valeurs Règlement Campagne'!$A$4:$T$7,20,FALSE))&lt;=2)))&gt;0),"Doublon",IF($C15=0," ",IF(H15=0," ",IF(E15="Inconnues",AND(H15&gt;=O15,H15&lt;=P15),IF(AND('Valeurs Règlement Campagne'!$L$14="OUI",E15="Connues"),AND(H15&gt;=O15-2,H15&lt;=P15+2),OR(H15=O15,H15=O15+5,H15=P15))))))))</f>
        <v xml:space="preserve"> </v>
      </c>
      <c r="U15" s="110" t="str">
        <f>IF($C15=0," ",IF(I15=0," ",IF('Valeurs Règlement Campagne'!$L$14="OUI",AND(I15&gt;=O15-2,I15&lt;=Q15+2),OR(I15=O15,I15=O15+5,I15=Q15))))</f>
        <v xml:space="preserve"> </v>
      </c>
      <c r="V15" s="281" t="str">
        <f t="shared" si="6"/>
        <v xml:space="preserve"> </v>
      </c>
      <c r="W15" s="282"/>
      <c r="X15" s="282" t="str">
        <f t="shared" si="7"/>
        <v xml:space="preserve"> </v>
      </c>
      <c r="Y15" s="282"/>
      <c r="Z15" s="282" t="str">
        <f t="shared" si="8"/>
        <v xml:space="preserve"> </v>
      </c>
      <c r="AA15" s="283"/>
      <c r="AB15" s="114" t="str">
        <f t="shared" si="5"/>
        <v/>
      </c>
      <c r="AC15" s="100" t="str">
        <f>IF(
  E15="Connues",
  IF(
    ABS(F15 - VLOOKUP(C15,'Valeurs Règlement Campagne'!$A$4:$T$7,12,FALSE))&lt;=2,
    VLOOKUP(C15,'Valeurs Règlement Campagne'!$A$4:$T$7,12,FALSE),
    IF(
      ABS(F15 - VLOOKUP(C15,'Valeurs Règlement Campagne'!$A$4:$T$7,13,FALSE))&lt;=2,
      VLOOKUP(C15,'Valeurs Règlement Campagne'!$A$4:$T$7,13,FALSE),
      IF(
        ABS(F15 - VLOOKUP(C15,'Valeurs Règlement Campagne'!$A$4:$T$7,14,FALSE))&lt;=2,
        VLOOKUP(C15,'Valeurs Règlement Campagne'!$A$4:$T$7,14,FALSE),
        ""
      )
    )
  ),
  ""
)</f>
        <v/>
      </c>
      <c r="AD15" s="100" t="str">
        <f>IF(
  E15="Connues",
  IF(
    ABS(G15 - VLOOKUP(C15,'Valeurs Règlement Campagne'!$A$4:$T$7,15,FALSE))&lt;=2,
    VLOOKUP(C15,'Valeurs Règlement Campagne'!$A$4:$T$7,15,FALSE),
    IF(
      ABS(G15 - VLOOKUP(C15,'Valeurs Règlement Campagne'!$A$4:$T$7,16,FALSE))&lt;=2,
      VLOOKUP(C15,'Valeurs Règlement Campagne'!$A$4:$T$7,16,FALSE),
      IF(
        ABS(G15 - VLOOKUP(C15,'Valeurs Règlement Campagne'!$A$4:$T$7,17,FALSE))&lt;=2,
        VLOOKUP(C15,'Valeurs Règlement Campagne'!$A$4:$T$7,17,FALSE),
        ""
      )
    )
  ),
  ""
)</f>
        <v/>
      </c>
      <c r="AE15" s="100" t="str">
        <f>IF(
  E15="Connues",
  IF(
    ABS(H15 - VLOOKUP(C15,'Valeurs Règlement Campagne'!$A$4:$T$7,15,FALSE))&lt;=2,
    VLOOKUP(C15,'Valeurs Règlement Campagne'!$A$4:$T$7,15,FALSE),
    IF(
      ABS(H15 - VLOOKUP(C15,'Valeurs Règlement Campagne'!$A$4:$T$7,16,FALSE))&lt;=2,
      VLOOKUP(C15,'Valeurs Règlement Campagne'!$A$4:$T$7,16,FALSE),
      IF(
        ABS(H15 - VLOOKUP(C15,'Valeurs Règlement Campagne'!$A$4:$T$7,17,FALSE))&lt;=2,
        VLOOKUP(C15,'Valeurs Règlement Campagne'!$A$4:$T$7,17,FALSE),
        ""
      )
    )
  ),
  ""
)</f>
        <v/>
      </c>
    </row>
    <row r="16" spans="1:31" ht="20.75" customHeight="1" thickBot="1">
      <c r="A16" s="213">
        <v>11</v>
      </c>
      <c r="B16" s="310"/>
      <c r="C16" s="279"/>
      <c r="D16" s="280"/>
      <c r="E16" s="61"/>
      <c r="F16" s="167"/>
      <c r="G16" s="168"/>
      <c r="H16" s="169"/>
      <c r="I16" s="175"/>
      <c r="J16" s="101"/>
      <c r="K16" s="102" t="str">
        <f>IF($E16=0," ",IF($E16=$D$31,VLOOKUP($C16,'Valeurs Règlement Campagne'!$A$4:$T$7,12,FALSE),VLOOKUP($C16,'Valeurs Règlement Campagne'!$A$4:$I$7,4,FALSE)))</f>
        <v xml:space="preserve"> </v>
      </c>
      <c r="L16" s="103" t="str">
        <f>IF($E16=0," ",IF($E16=$D$31,VLOOKUP($C16,'Valeurs Règlement Campagne'!$A$4:$T$7,14,FALSE),VLOOKUP($C16,'Valeurs Règlement Campagne'!$A$4:$L$7,5,FALSE)))</f>
        <v xml:space="preserve"> </v>
      </c>
      <c r="M16" s="102" t="str">
        <f>IF($E16=0," ",IF($E16=$D$31,VLOOKUP($C16,'Valeurs Règlement Campagne'!$A$4:$T$7,15,FALSE),VLOOKUP($C16,'Valeurs Règlement Campagne'!$A$4:$M$7,6,FALSE)))</f>
        <v xml:space="preserve"> </v>
      </c>
      <c r="N16" s="104" t="str">
        <f>IF($E16=0," ",IF($E16=$D$31,VLOOKUP($C16,'Valeurs Règlement Campagne'!$A$4:$T$7,17,FALSE),VLOOKUP($C16,'Valeurs Règlement Campagne'!$A$4:$N$7,7,FALSE)))</f>
        <v xml:space="preserve"> </v>
      </c>
      <c r="O16" s="105" t="str">
        <f>IF($E16=0," ",IF($E16=$D$31,VLOOKUP($C16,'Valeurs Règlement Campagne'!$A$4:$T$7,18,FALSE),VLOOKUP($C16,'Valeurs Règlement Campagne'!$A$4:$O$7,8,FALSE)))</f>
        <v xml:space="preserve"> </v>
      </c>
      <c r="P16" s="104" t="str">
        <f>IF($E16=0," ",IF($E16=$D$31,VLOOKUP($C16,'Valeurs Règlement Campagne'!$A$4:$T$7,20,FALSE),VLOOKUP($C16,'Valeurs Règlement Campagne'!$A$4:$P$7,9,FALSE)))</f>
        <v xml:space="preserve"> </v>
      </c>
      <c r="Q16" s="111" t="str">
        <f t="shared" si="0"/>
        <v xml:space="preserve"> </v>
      </c>
      <c r="R16" s="112" t="str" cm="1">
        <f t="array" ref="R16">IF(C16=0," ",IF(AND(E16="Connues",AC16&lt;&gt;"",COUNTIFS(AC$6:AC$29,AC16,C$6:C$29,C16)&gt;1),"Doublon",IF(AND(E16="Connues",SUMPRODUCT((E$6:E$29="Connues")*(C$6:C$29=C16)*(ROW($6:$29)&lt;&gt;ROW())*(ABS(F$6:F$29-F16)&lt;=2)*((ABS(F$6:F$29-VLOOKUP(C16,'Valeurs Règlement Campagne'!$A$4:$T$7,12,FALSE))&lt;=2)+(ABS(F$6:F$29-VLOOKUP(C16,'Valeurs Règlement Campagne'!$A$4:$T$7,13,FALSE))&lt;=2)+(ABS(F$6:F$29-VLOOKUP(C16,'Valeurs Règlement Campagne'!$A$4:$T$7,14,FALSE))&lt;=2)))&gt;0),"Doublon",IF($C16=0," ",IF(F16=0," ",IF(E16="Inconnues",AND(F16&gt;=K16,F16&lt;=L16),IF(AND('Valeurs Règlement Campagne'!$L$14="OUI",E16="Connues"),AND(F16&gt;=K16-2,F16&lt;=L16+2),OR(F16=K16,F16=K16+5,F16=L16))))))))</f>
        <v xml:space="preserve"> </v>
      </c>
      <c r="S16" s="113" t="str" cm="1">
        <f t="array" ref="S16">IF(C16=0," ",IF(AND(E16="Connues",AD16&lt;&gt;"",COUNTIFS(AD$6:AD$29,AD16,C$6:C$29,C16)&gt;1),"Doublon",IF(AND(E16="Connues",SUMPRODUCT((E$6:E$29="Connues")*(C$6:C$29=C16)*(ROW($6:$29)&lt;&gt;ROW())*(ABS(G$6:G$29-G16)&lt;=2)*((ABS(G$6:G$29-VLOOKUP(C16,'Valeurs Règlement Campagne'!$A$4:$T$7,15,FALSE))&lt;=2)+(ABS(G$6:G$29-VLOOKUP(C16,'Valeurs Règlement Campagne'!$A$4:$T$7,16,FALSE))&lt;=2)+(ABS(G$6:G$29-VLOOKUP(C16,'Valeurs Règlement Campagne'!$A$4:$T$7,17,FALSE))&lt;=2)))&gt;0),"Doublon",IF($C16=0," ",IF(G16=0," ",IF(E16="Inconnues",AND(G16&gt;=M16,G16&lt;=N16),IF(AND('Valeurs Règlement Campagne'!$L$14="OUI",E16="Connues"),AND(G16&gt;=M16-2,G16&lt;=N16+2),OR(G16=M16,G16=M16+5,G16=N16))))))))</f>
        <v xml:space="preserve"> </v>
      </c>
      <c r="T16" s="113" t="str" cm="1">
        <f t="array" ref="T16">IF(C16=0," ",IF(AND(E16="Connues",AE16&lt;&gt;"",COUNTIFS(AE$6:AE$29,AE16,C$6:C$29,C16)&gt;1),"Doublon",IF(AND(E16="Connues",SUMPRODUCT((E$6:E$29="Connues")*(C$6:C$29=C16)*(ROW($6:$29)&lt;&gt;ROW())*(ABS(H$6:H$29-H16)&lt;=2)*((ABS(H$6:H$29-VLOOKUP(C16,'Valeurs Règlement Campagne'!$A$4:$T$7,18,FALSE))&lt;=2)+(ABS(H$7:H$30-VLOOKUP(C16,'Valeurs Règlement Campagne'!$A$4:$T$7,19,FALSE))&lt;=2)+(ABS(H$6:H$29-VLOOKUP(C16,'Valeurs Règlement Campagne'!$A$4:$T$7,20,FALSE))&lt;=2)))&gt;0),"Doublon",IF($C16=0," ",IF(H16=0," ",IF(E16="Inconnues",AND(H16&gt;=O16,H16&lt;=P16),IF(AND('Valeurs Règlement Campagne'!$L$14="OUI",E16="Connues"),AND(H16&gt;=O16-2,H16&lt;=P16+2),OR(H16=O16,H16=O16+5,H16=P16))))))))</f>
        <v xml:space="preserve"> </v>
      </c>
      <c r="U16" s="110" t="str">
        <f>IF($C16=0," ",IF(I16=0," ",IF('Valeurs Règlement Campagne'!$L$14="OUI",AND(I16&gt;=O16-2,I16&lt;=Q16+2),OR(I16=O16,I16=O16+5,I16=Q16))))</f>
        <v xml:space="preserve"> </v>
      </c>
      <c r="V16" s="281" t="str">
        <f t="shared" si="6"/>
        <v xml:space="preserve"> </v>
      </c>
      <c r="W16" s="282"/>
      <c r="X16" s="282" t="str">
        <f t="shared" si="7"/>
        <v xml:space="preserve"> </v>
      </c>
      <c r="Y16" s="282"/>
      <c r="Z16" s="282" t="str">
        <f t="shared" si="8"/>
        <v xml:space="preserve"> </v>
      </c>
      <c r="AA16" s="283"/>
      <c r="AB16" s="114" t="str">
        <f t="shared" si="5"/>
        <v/>
      </c>
      <c r="AC16" s="100" t="str">
        <f>IF(
  E16="Connues",
  IF(
    ABS(F16 - VLOOKUP(C16,'Valeurs Règlement Campagne'!$A$4:$T$7,12,FALSE))&lt;=2,
    VLOOKUP(C16,'Valeurs Règlement Campagne'!$A$4:$T$7,12,FALSE),
    IF(
      ABS(F16 - VLOOKUP(C16,'Valeurs Règlement Campagne'!$A$4:$T$7,13,FALSE))&lt;=2,
      VLOOKUP(C16,'Valeurs Règlement Campagne'!$A$4:$T$7,13,FALSE),
      IF(
        ABS(F16 - VLOOKUP(C16,'Valeurs Règlement Campagne'!$A$4:$T$7,14,FALSE))&lt;=2,
        VLOOKUP(C16,'Valeurs Règlement Campagne'!$A$4:$T$7,14,FALSE),
        ""
      )
    )
  ),
  ""
)</f>
        <v/>
      </c>
      <c r="AD16" s="100" t="str">
        <f>IF(
  E16="Connues",
  IF(
    ABS(G16 - VLOOKUP(C16,'Valeurs Règlement Campagne'!$A$4:$T$7,15,FALSE))&lt;=2,
    VLOOKUP(C16,'Valeurs Règlement Campagne'!$A$4:$T$7,15,FALSE),
    IF(
      ABS(G16 - VLOOKUP(C16,'Valeurs Règlement Campagne'!$A$4:$T$7,16,FALSE))&lt;=2,
      VLOOKUP(C16,'Valeurs Règlement Campagne'!$A$4:$T$7,16,FALSE),
      IF(
        ABS(G16 - VLOOKUP(C16,'Valeurs Règlement Campagne'!$A$4:$T$7,17,FALSE))&lt;=2,
        VLOOKUP(C16,'Valeurs Règlement Campagne'!$A$4:$T$7,17,FALSE),
        ""
      )
    )
  ),
  ""
)</f>
        <v/>
      </c>
      <c r="AE16" s="100" t="str">
        <f>IF(
  E16="Connues",
  IF(
    ABS(H16 - VLOOKUP(C16,'Valeurs Règlement Campagne'!$A$4:$T$7,15,FALSE))&lt;=2,
    VLOOKUP(C16,'Valeurs Règlement Campagne'!$A$4:$T$7,15,FALSE),
    IF(
      ABS(H16 - VLOOKUP(C16,'Valeurs Règlement Campagne'!$A$4:$T$7,16,FALSE))&lt;=2,
      VLOOKUP(C16,'Valeurs Règlement Campagne'!$A$4:$T$7,16,FALSE),
      IF(
        ABS(H16 - VLOOKUP(C16,'Valeurs Règlement Campagne'!$A$4:$T$7,17,FALSE))&lt;=2,
        VLOOKUP(C16,'Valeurs Règlement Campagne'!$A$4:$T$7,17,FALSE),
        ""
      )
    )
  ),
  ""
)</f>
        <v/>
      </c>
    </row>
    <row r="17" spans="1:212" ht="20.75" customHeight="1" thickBot="1">
      <c r="A17" s="213">
        <v>12</v>
      </c>
      <c r="B17" s="310"/>
      <c r="C17" s="279"/>
      <c r="D17" s="280"/>
      <c r="E17" s="61"/>
      <c r="F17" s="167"/>
      <c r="G17" s="168"/>
      <c r="H17" s="169"/>
      <c r="I17" s="175"/>
      <c r="J17" s="101"/>
      <c r="K17" s="102" t="str">
        <f>IF($E17=0," ",IF($E17=$D$31,VLOOKUP($C17,'Valeurs Règlement Campagne'!$A$4:$T$7,12,FALSE),VLOOKUP($C17,'Valeurs Règlement Campagne'!$A$4:$I$7,4,FALSE)))</f>
        <v xml:space="preserve"> </v>
      </c>
      <c r="L17" s="103" t="str">
        <f>IF($E17=0," ",IF($E17=$D$31,VLOOKUP($C17,'Valeurs Règlement Campagne'!$A$4:$T$7,14,FALSE),VLOOKUP($C17,'Valeurs Règlement Campagne'!$A$4:$L$7,5,FALSE)))</f>
        <v xml:space="preserve"> </v>
      </c>
      <c r="M17" s="102" t="str">
        <f>IF($E17=0," ",IF($E17=$D$31,VLOOKUP($C17,'Valeurs Règlement Campagne'!$A$4:$T$7,15,FALSE),VLOOKUP($C17,'Valeurs Règlement Campagne'!$A$4:$M$7,6,FALSE)))</f>
        <v xml:space="preserve"> </v>
      </c>
      <c r="N17" s="104" t="str">
        <f>IF($E17=0," ",IF($E17=$D$31,VLOOKUP($C17,'Valeurs Règlement Campagne'!$A$4:$T$7,17,FALSE),VLOOKUP($C17,'Valeurs Règlement Campagne'!$A$4:$N$7,7,FALSE)))</f>
        <v xml:space="preserve"> </v>
      </c>
      <c r="O17" s="105" t="str">
        <f>IF($E17=0," ",IF($E17=$D$31,VLOOKUP($C17,'Valeurs Règlement Campagne'!$A$4:$T$7,18,FALSE),VLOOKUP($C17,'Valeurs Règlement Campagne'!$A$4:$O$7,8,FALSE)))</f>
        <v xml:space="preserve"> </v>
      </c>
      <c r="P17" s="104" t="str">
        <f>IF($E17=0," ",IF($E17=$D$31,VLOOKUP($C17,'Valeurs Règlement Campagne'!$A$4:$T$7,20,FALSE),VLOOKUP($C17,'Valeurs Règlement Campagne'!$A$4:$P$7,9,FALSE)))</f>
        <v xml:space="preserve"> </v>
      </c>
      <c r="Q17" s="111" t="str">
        <f t="shared" si="0"/>
        <v xml:space="preserve"> </v>
      </c>
      <c r="R17" s="112" t="str" cm="1">
        <f t="array" ref="R17">IF(C17=0," ",IF(AND(E17="Connues",AC17&lt;&gt;"",COUNTIFS(AC$6:AC$29,AC17,C$6:C$29,C17)&gt;1),"Doublon",IF(AND(E17="Connues",SUMPRODUCT((E$6:E$29="Connues")*(C$6:C$29=C17)*(ROW($6:$29)&lt;&gt;ROW())*(ABS(F$6:F$29-F17)&lt;=2)*((ABS(F$6:F$29-VLOOKUP(C17,'Valeurs Règlement Campagne'!$A$4:$T$7,12,FALSE))&lt;=2)+(ABS(F$6:F$29-VLOOKUP(C17,'Valeurs Règlement Campagne'!$A$4:$T$7,13,FALSE))&lt;=2)+(ABS(F$6:F$29-VLOOKUP(C17,'Valeurs Règlement Campagne'!$A$4:$T$7,14,FALSE))&lt;=2)))&gt;0),"Doublon",IF($C17=0," ",IF(F17=0," ",IF(E17="Inconnues",AND(F17&gt;=K17,F17&lt;=L17),IF(AND('Valeurs Règlement Campagne'!$L$14="OUI",E17="Connues"),AND(F17&gt;=K17-2,F17&lt;=L17+2),OR(F17=K17,F17=K17+5,F17=L17))))))))</f>
        <v xml:space="preserve"> </v>
      </c>
      <c r="S17" s="113" t="str" cm="1">
        <f t="array" ref="S17">IF(C17=0," ",IF(AND(E17="Connues",AD17&lt;&gt;"",COUNTIFS(AD$6:AD$29,AD17,C$6:C$29,C17)&gt;1),"Doublon",IF(AND(E17="Connues",SUMPRODUCT((E$6:E$29="Connues")*(C$6:C$29=C17)*(ROW($6:$29)&lt;&gt;ROW())*(ABS(G$6:G$29-G17)&lt;=2)*((ABS(G$6:G$29-VLOOKUP(C17,'Valeurs Règlement Campagne'!$A$4:$T$7,15,FALSE))&lt;=2)+(ABS(G$6:G$29-VLOOKUP(C17,'Valeurs Règlement Campagne'!$A$4:$T$7,16,FALSE))&lt;=2)+(ABS(G$6:G$29-VLOOKUP(C17,'Valeurs Règlement Campagne'!$A$4:$T$7,17,FALSE))&lt;=2)))&gt;0),"Doublon",IF($C17=0," ",IF(G17=0," ",IF(E17="Inconnues",AND(G17&gt;=M17,G17&lt;=N17),IF(AND('Valeurs Règlement Campagne'!$L$14="OUI",E17="Connues"),AND(G17&gt;=M17-2,G17&lt;=N17+2),OR(G17=M17,G17=M17+5,G17=N17))))))))</f>
        <v xml:space="preserve"> </v>
      </c>
      <c r="T17" s="113" t="str" cm="1">
        <f t="array" ref="T17">IF(C17=0," ",IF(AND(E17="Connues",AE17&lt;&gt;"",COUNTIFS(AE$6:AE$29,AE17,C$6:C$29,C17)&gt;1),"Doublon",IF(AND(E17="Connues",SUMPRODUCT((E$6:E$29="Connues")*(C$6:C$29=C17)*(ROW($6:$29)&lt;&gt;ROW())*(ABS(H$6:H$29-H17)&lt;=2)*((ABS(H$6:H$29-VLOOKUP(C17,'Valeurs Règlement Campagne'!$A$4:$T$7,18,FALSE))&lt;=2)+(ABS(H$7:H$30-VLOOKUP(C17,'Valeurs Règlement Campagne'!$A$4:$T$7,19,FALSE))&lt;=2)+(ABS(H$6:H$29-VLOOKUP(C17,'Valeurs Règlement Campagne'!$A$4:$T$7,20,FALSE))&lt;=2)))&gt;0),"Doublon",IF($C17=0," ",IF(H17=0," ",IF(E17="Inconnues",AND(H17&gt;=O17,H17&lt;=P17),IF(AND('Valeurs Règlement Campagne'!$L$14="OUI",E17="Connues"),AND(H17&gt;=O17-2,H17&lt;=P17+2),OR(H17=O17,H17=O17+5,H17=P17))))))))</f>
        <v xml:space="preserve"> </v>
      </c>
      <c r="U17" s="110" t="str">
        <f>IF($C17=0," ",IF(I17=0," ",IF('Valeurs Règlement Campagne'!$L$14="OUI",AND(I17&gt;=O17-2,I17&lt;=Q17+2),OR(I17=O17,I17=O17+5,I17=Q17))))</f>
        <v xml:space="preserve"> </v>
      </c>
      <c r="V17" s="281" t="str">
        <f t="shared" si="6"/>
        <v xml:space="preserve"> </v>
      </c>
      <c r="W17" s="282"/>
      <c r="X17" s="282" t="str">
        <f t="shared" si="7"/>
        <v xml:space="preserve"> </v>
      </c>
      <c r="Y17" s="282"/>
      <c r="Z17" s="282" t="str">
        <f t="shared" si="8"/>
        <v xml:space="preserve"> </v>
      </c>
      <c r="AA17" s="283"/>
      <c r="AB17" s="114" t="str">
        <f t="shared" si="5"/>
        <v/>
      </c>
      <c r="AC17" s="100" t="str">
        <f>IF(
  E17="Connues",
  IF(
    ABS(F17 - VLOOKUP(C17,'Valeurs Règlement Campagne'!$A$4:$T$7,12,FALSE))&lt;=2,
    VLOOKUP(C17,'Valeurs Règlement Campagne'!$A$4:$T$7,12,FALSE),
    IF(
      ABS(F17 - VLOOKUP(C17,'Valeurs Règlement Campagne'!$A$4:$T$7,13,FALSE))&lt;=2,
      VLOOKUP(C17,'Valeurs Règlement Campagne'!$A$4:$T$7,13,FALSE),
      IF(
        ABS(F17 - VLOOKUP(C17,'Valeurs Règlement Campagne'!$A$4:$T$7,14,FALSE))&lt;=2,
        VLOOKUP(C17,'Valeurs Règlement Campagne'!$A$4:$T$7,14,FALSE),
        ""
      )
    )
  ),
  ""
)</f>
        <v/>
      </c>
      <c r="AD17" s="100" t="str">
        <f>IF(
  E17="Connues",
  IF(
    ABS(G17 - VLOOKUP(C17,'Valeurs Règlement Campagne'!$A$4:$T$7,15,FALSE))&lt;=2,
    VLOOKUP(C17,'Valeurs Règlement Campagne'!$A$4:$T$7,15,FALSE),
    IF(
      ABS(G17 - VLOOKUP(C17,'Valeurs Règlement Campagne'!$A$4:$T$7,16,FALSE))&lt;=2,
      VLOOKUP(C17,'Valeurs Règlement Campagne'!$A$4:$T$7,16,FALSE),
      IF(
        ABS(G17 - VLOOKUP(C17,'Valeurs Règlement Campagne'!$A$4:$T$7,17,FALSE))&lt;=2,
        VLOOKUP(C17,'Valeurs Règlement Campagne'!$A$4:$T$7,17,FALSE),
        ""
      )
    )
  ),
  ""
)</f>
        <v/>
      </c>
      <c r="AE17" s="100" t="str">
        <f>IF(
  E17="Connues",
  IF(
    ABS(H17 - VLOOKUP(C17,'Valeurs Règlement Campagne'!$A$4:$T$7,15,FALSE))&lt;=2,
    VLOOKUP(C17,'Valeurs Règlement Campagne'!$A$4:$T$7,15,FALSE),
    IF(
      ABS(H17 - VLOOKUP(C17,'Valeurs Règlement Campagne'!$A$4:$T$7,16,FALSE))&lt;=2,
      VLOOKUP(C17,'Valeurs Règlement Campagne'!$A$4:$T$7,16,FALSE),
      IF(
        ABS(H17 - VLOOKUP(C17,'Valeurs Règlement Campagne'!$A$4:$T$7,17,FALSE))&lt;=2,
        VLOOKUP(C17,'Valeurs Règlement Campagne'!$A$4:$T$7,17,FALSE),
        ""
      )
    )
  ),
  ""
)</f>
        <v/>
      </c>
    </row>
    <row r="18" spans="1:212" ht="20.75" customHeight="1" thickBot="1">
      <c r="A18" s="213">
        <v>13</v>
      </c>
      <c r="B18" s="310"/>
      <c r="C18" s="279"/>
      <c r="D18" s="280"/>
      <c r="E18" s="61"/>
      <c r="F18" s="170"/>
      <c r="G18" s="171"/>
      <c r="H18" s="172"/>
      <c r="I18" s="175"/>
      <c r="J18" s="101"/>
      <c r="K18" s="102" t="str">
        <f>IF($E18=0," ",IF($E18=$D$31,VLOOKUP($C18,'Valeurs Règlement Campagne'!$A$4:$T$7,12,FALSE),VLOOKUP($C18,'Valeurs Règlement Campagne'!$A$4:$I$7,4,FALSE)))</f>
        <v xml:space="preserve"> </v>
      </c>
      <c r="L18" s="103" t="str">
        <f>IF($E18=0," ",IF($E18=$D$31,VLOOKUP($C18,'Valeurs Règlement Campagne'!$A$4:$T$7,14,FALSE),VLOOKUP($C18,'Valeurs Règlement Campagne'!$A$4:$L$7,5,FALSE)))</f>
        <v xml:space="preserve"> </v>
      </c>
      <c r="M18" s="102" t="str">
        <f>IF($E18=0," ",IF($E18=$D$31,VLOOKUP($C18,'Valeurs Règlement Campagne'!$A$4:$T$7,15,FALSE),VLOOKUP($C18,'Valeurs Règlement Campagne'!$A$4:$M$7,6,FALSE)))</f>
        <v xml:space="preserve"> </v>
      </c>
      <c r="N18" s="104" t="str">
        <f>IF($E18=0," ",IF($E18=$D$31,VLOOKUP($C18,'Valeurs Règlement Campagne'!$A$4:$T$7,17,FALSE),VLOOKUP($C18,'Valeurs Règlement Campagne'!$A$4:$N$7,7,FALSE)))</f>
        <v xml:space="preserve"> </v>
      </c>
      <c r="O18" s="105" t="str">
        <f>IF($E18=0," ",IF($E18=$D$31,VLOOKUP($C18,'Valeurs Règlement Campagne'!$A$4:$T$7,18,FALSE),VLOOKUP($C18,'Valeurs Règlement Campagne'!$A$4:$O$7,8,FALSE)))</f>
        <v xml:space="preserve"> </v>
      </c>
      <c r="P18" s="104" t="str">
        <f>IF($E18=0," ",IF($E18=$D$31,VLOOKUP($C18,'Valeurs Règlement Campagne'!$A$4:$T$7,20,FALSE),VLOOKUP($C18,'Valeurs Règlement Campagne'!$A$4:$P$7,9,FALSE)))</f>
        <v xml:space="preserve"> </v>
      </c>
      <c r="Q18" s="111" t="str">
        <f t="shared" si="0"/>
        <v xml:space="preserve"> </v>
      </c>
      <c r="R18" s="112" t="str" cm="1">
        <f t="array" ref="R18">IF(C18=0," ",IF(AND(E18="Connues",AC18&lt;&gt;"",COUNTIFS(AC$6:AC$29,AC18,C$6:C$29,C18)&gt;1),"Doublon",IF(AND(E18="Connues",SUMPRODUCT((E$6:E$29="Connues")*(C$6:C$29=C18)*(ROW($6:$29)&lt;&gt;ROW())*(ABS(F$6:F$29-F18)&lt;=2)*((ABS(F$6:F$29-VLOOKUP(C18,'Valeurs Règlement Campagne'!$A$4:$T$7,12,FALSE))&lt;=2)+(ABS(F$6:F$29-VLOOKUP(C18,'Valeurs Règlement Campagne'!$A$4:$T$7,13,FALSE))&lt;=2)+(ABS(F$6:F$29-VLOOKUP(C18,'Valeurs Règlement Campagne'!$A$4:$T$7,14,FALSE))&lt;=2)))&gt;0),"Doublon",IF($C18=0," ",IF(F18=0," ",IF(E18="Inconnues",AND(F18&gt;=K18,F18&lt;=L18),IF(AND('Valeurs Règlement Campagne'!$L$14="OUI",E18="Connues"),AND(F18&gt;=K18-2,F18&lt;=L18+2),OR(F18=K18,F18=K18+5,F18=L18))))))))</f>
        <v xml:space="preserve"> </v>
      </c>
      <c r="S18" s="113" t="str" cm="1">
        <f t="array" ref="S18">IF(C18=0," ",IF(AND(E18="Connues",AD18&lt;&gt;"",COUNTIFS(AD$6:AD$29,AD18,C$6:C$29,C18)&gt;1),"Doublon",IF(AND(E18="Connues",SUMPRODUCT((E$6:E$29="Connues")*(C$6:C$29=C18)*(ROW($6:$29)&lt;&gt;ROW())*(ABS(G$6:G$29-G18)&lt;=2)*((ABS(G$6:G$29-VLOOKUP(C18,'Valeurs Règlement Campagne'!$A$4:$T$7,15,FALSE))&lt;=2)+(ABS(G$6:G$29-VLOOKUP(C18,'Valeurs Règlement Campagne'!$A$4:$T$7,16,FALSE))&lt;=2)+(ABS(G$6:G$29-VLOOKUP(C18,'Valeurs Règlement Campagne'!$A$4:$T$7,17,FALSE))&lt;=2)))&gt;0),"Doublon",IF($C18=0," ",IF(G18=0," ",IF(E18="Inconnues",AND(G18&gt;=M18,G18&lt;=N18),IF(AND('Valeurs Règlement Campagne'!$L$14="OUI",E18="Connues"),AND(G18&gt;=M18-2,G18&lt;=N18+2),OR(G18=M18,G18=M18+5,G18=N18))))))))</f>
        <v xml:space="preserve"> </v>
      </c>
      <c r="T18" s="113" t="str" cm="1">
        <f t="array" ref="T18">IF(C18=0," ",IF(AND(E18="Connues",AE18&lt;&gt;"",COUNTIFS(AE$6:AE$29,AE18,C$6:C$29,C18)&gt;1),"Doublon",IF(AND(E18="Connues",SUMPRODUCT((E$6:E$29="Connues")*(C$6:C$29=C18)*(ROW($6:$29)&lt;&gt;ROW())*(ABS(H$6:H$29-H18)&lt;=2)*((ABS(H$6:H$29-VLOOKUP(C18,'Valeurs Règlement Campagne'!$A$4:$T$7,18,FALSE))&lt;=2)+(ABS(H$7:H$30-VLOOKUP(C18,'Valeurs Règlement Campagne'!$A$4:$T$7,19,FALSE))&lt;=2)+(ABS(H$6:H$29-VLOOKUP(C18,'Valeurs Règlement Campagne'!$A$4:$T$7,20,FALSE))&lt;=2)))&gt;0),"Doublon",IF($C18=0," ",IF(H18=0," ",IF(E18="Inconnues",AND(H18&gt;=O18,H18&lt;=P18),IF(AND('Valeurs Règlement Campagne'!$L$14="OUI",E18="Connues"),AND(H18&gt;=O18-2,H18&lt;=P18+2),OR(H18=O18,H18=O18+5,H18=P18))))))))</f>
        <v xml:space="preserve"> </v>
      </c>
      <c r="U18" s="110" t="str">
        <f>IF($C18=0," ",IF(I18=0," ",IF('Valeurs Règlement Campagne'!$L$14="OUI",AND(I18&gt;=O18-2,I18&lt;=Q18+2),OR(I18=O18,I18=O18+5,I18=Q18))))</f>
        <v xml:space="preserve"> </v>
      </c>
      <c r="V18" s="281" t="str">
        <f t="shared" si="6"/>
        <v xml:space="preserve"> </v>
      </c>
      <c r="W18" s="282"/>
      <c r="X18" s="282" t="str">
        <f t="shared" si="7"/>
        <v xml:space="preserve"> </v>
      </c>
      <c r="Y18" s="282"/>
      <c r="Z18" s="282" t="str">
        <f t="shared" si="8"/>
        <v xml:space="preserve"> </v>
      </c>
      <c r="AA18" s="283"/>
      <c r="AB18" s="114" t="str">
        <f t="shared" si="5"/>
        <v/>
      </c>
      <c r="AC18" s="100" t="str">
        <f>IF(
  E18="Connues",
  IF(
    ABS(F18 - VLOOKUP(C18,'Valeurs Règlement Campagne'!$A$4:$T$7,12,FALSE))&lt;=2,
    VLOOKUP(C18,'Valeurs Règlement Campagne'!$A$4:$T$7,12,FALSE),
    IF(
      ABS(F18 - VLOOKUP(C18,'Valeurs Règlement Campagne'!$A$4:$T$7,13,FALSE))&lt;=2,
      VLOOKUP(C18,'Valeurs Règlement Campagne'!$A$4:$T$7,13,FALSE),
      IF(
        ABS(F18 - VLOOKUP(C18,'Valeurs Règlement Campagne'!$A$4:$T$7,14,FALSE))&lt;=2,
        VLOOKUP(C18,'Valeurs Règlement Campagne'!$A$4:$T$7,14,FALSE),
        ""
      )
    )
  ),
  ""
)</f>
        <v/>
      </c>
      <c r="AD18" s="100" t="str">
        <f>IF(
  E18="Connues",
  IF(
    ABS(G18 - VLOOKUP(C18,'Valeurs Règlement Campagne'!$A$4:$T$7,15,FALSE))&lt;=2,
    VLOOKUP(C18,'Valeurs Règlement Campagne'!$A$4:$T$7,15,FALSE),
    IF(
      ABS(G18 - VLOOKUP(C18,'Valeurs Règlement Campagne'!$A$4:$T$7,16,FALSE))&lt;=2,
      VLOOKUP(C18,'Valeurs Règlement Campagne'!$A$4:$T$7,16,FALSE),
      IF(
        ABS(G18 - VLOOKUP(C18,'Valeurs Règlement Campagne'!$A$4:$T$7,17,FALSE))&lt;=2,
        VLOOKUP(C18,'Valeurs Règlement Campagne'!$A$4:$T$7,17,FALSE),
        ""
      )
    )
  ),
  ""
)</f>
        <v/>
      </c>
      <c r="AE18" s="100" t="str">
        <f>IF(
  E18="Connues",
  IF(
    ABS(H18 - VLOOKUP(C18,'Valeurs Règlement Campagne'!$A$4:$T$7,15,FALSE))&lt;=2,
    VLOOKUP(C18,'Valeurs Règlement Campagne'!$A$4:$T$7,15,FALSE),
    IF(
      ABS(H18 - VLOOKUP(C18,'Valeurs Règlement Campagne'!$A$4:$T$7,16,FALSE))&lt;=2,
      VLOOKUP(C18,'Valeurs Règlement Campagne'!$A$4:$T$7,16,FALSE),
      IF(
        ABS(H18 - VLOOKUP(C18,'Valeurs Règlement Campagne'!$A$4:$T$7,17,FALSE))&lt;=2,
        VLOOKUP(C18,'Valeurs Règlement Campagne'!$A$4:$T$7,17,FALSE),
        ""
      )
    )
  ),
  ""
)</f>
        <v/>
      </c>
    </row>
    <row r="19" spans="1:212" ht="20.75" customHeight="1" thickBot="1">
      <c r="A19" s="213">
        <v>14</v>
      </c>
      <c r="B19" s="310"/>
      <c r="C19" s="279"/>
      <c r="D19" s="280"/>
      <c r="E19" s="61"/>
      <c r="F19" s="167"/>
      <c r="G19" s="168"/>
      <c r="H19" s="169"/>
      <c r="I19" s="175"/>
      <c r="J19" s="101"/>
      <c r="K19" s="102" t="str">
        <f>IF($E19=0," ",IF($E19=$D$31,VLOOKUP($C19,'Valeurs Règlement Campagne'!$A$4:$T$7,12,FALSE),VLOOKUP($C19,'Valeurs Règlement Campagne'!$A$4:$I$7,4,FALSE)))</f>
        <v xml:space="preserve"> </v>
      </c>
      <c r="L19" s="103" t="str">
        <f>IF($E19=0," ",IF($E19=$D$31,VLOOKUP($C19,'Valeurs Règlement Campagne'!$A$4:$T$7,14,FALSE),VLOOKUP($C19,'Valeurs Règlement Campagne'!$A$4:$L$7,5,FALSE)))</f>
        <v xml:space="preserve"> </v>
      </c>
      <c r="M19" s="102" t="str">
        <f>IF($E19=0," ",IF($E19=$D$31,VLOOKUP($C19,'Valeurs Règlement Campagne'!$A$4:$T$7,15,FALSE),VLOOKUP($C19,'Valeurs Règlement Campagne'!$A$4:$M$7,6,FALSE)))</f>
        <v xml:space="preserve"> </v>
      </c>
      <c r="N19" s="104" t="str">
        <f>IF($E19=0," ",IF($E19=$D$31,VLOOKUP($C19,'Valeurs Règlement Campagne'!$A$4:$T$7,17,FALSE),VLOOKUP($C19,'Valeurs Règlement Campagne'!$A$4:$N$7,7,FALSE)))</f>
        <v xml:space="preserve"> </v>
      </c>
      <c r="O19" s="105" t="str">
        <f>IF($E19=0," ",IF($E19=$D$31,VLOOKUP($C19,'Valeurs Règlement Campagne'!$A$4:$T$7,18,FALSE),VLOOKUP($C19,'Valeurs Règlement Campagne'!$A$4:$O$7,8,FALSE)))</f>
        <v xml:space="preserve"> </v>
      </c>
      <c r="P19" s="104" t="str">
        <f>IF($E19=0," ",IF($E19=$D$31,VLOOKUP($C19,'Valeurs Règlement Campagne'!$A$4:$T$7,20,FALSE),VLOOKUP($C19,'Valeurs Règlement Campagne'!$A$4:$P$7,9,FALSE)))</f>
        <v xml:space="preserve"> </v>
      </c>
      <c r="Q19" s="111" t="str">
        <f t="shared" si="0"/>
        <v xml:space="preserve"> </v>
      </c>
      <c r="R19" s="112" t="str" cm="1">
        <f t="array" ref="R19">IF(C19=0," ",IF(AND(E19="Connues",AC19&lt;&gt;"",COUNTIFS(AC$6:AC$29,AC19,C$6:C$29,C19)&gt;1),"Doublon",IF(AND(E19="Connues",SUMPRODUCT((E$6:E$29="Connues")*(C$6:C$29=C19)*(ROW($6:$29)&lt;&gt;ROW())*(ABS(F$6:F$29-F19)&lt;=2)*((ABS(F$6:F$29-VLOOKUP(C19,'Valeurs Règlement Campagne'!$A$4:$T$7,12,FALSE))&lt;=2)+(ABS(F$6:F$29-VLOOKUP(C19,'Valeurs Règlement Campagne'!$A$4:$T$7,13,FALSE))&lt;=2)+(ABS(F$6:F$29-VLOOKUP(C19,'Valeurs Règlement Campagne'!$A$4:$T$7,14,FALSE))&lt;=2)))&gt;0),"Doublon",IF($C19=0," ",IF(F19=0," ",IF(E19="Inconnues",AND(F19&gt;=K19,F19&lt;=L19),IF(AND('Valeurs Règlement Campagne'!$L$14="OUI",E19="Connues"),AND(F19&gt;=K19-2,F19&lt;=L19+2),OR(F19=K19,F19=K19+5,F19=L19))))))))</f>
        <v xml:space="preserve"> </v>
      </c>
      <c r="S19" s="113" t="str" cm="1">
        <f t="array" ref="S19">IF(C19=0," ",IF(AND(E19="Connues",AD19&lt;&gt;"",COUNTIFS(AD$6:AD$29,AD19,C$6:C$29,C19)&gt;1),"Doublon",IF(AND(E19="Connues",SUMPRODUCT((E$6:E$29="Connues")*(C$6:C$29=C19)*(ROW($6:$29)&lt;&gt;ROW())*(ABS(G$6:G$29-G19)&lt;=2)*((ABS(G$6:G$29-VLOOKUP(C19,'Valeurs Règlement Campagne'!$A$4:$T$7,15,FALSE))&lt;=2)+(ABS(G$6:G$29-VLOOKUP(C19,'Valeurs Règlement Campagne'!$A$4:$T$7,16,FALSE))&lt;=2)+(ABS(G$6:G$29-VLOOKUP(C19,'Valeurs Règlement Campagne'!$A$4:$T$7,17,FALSE))&lt;=2)))&gt;0),"Doublon",IF($C19=0," ",IF(G19=0," ",IF(E19="Inconnues",AND(G19&gt;=M19,G19&lt;=N19),IF(AND('Valeurs Règlement Campagne'!$L$14="OUI",E19="Connues"),AND(G19&gt;=M19-2,G19&lt;=N19+2),OR(G19=M19,G19=M19+5,G19=N19))))))))</f>
        <v xml:space="preserve"> </v>
      </c>
      <c r="T19" s="113" t="str" cm="1">
        <f t="array" ref="T19">IF(C19=0," ",IF(AND(E19="Connues",AE19&lt;&gt;"",COUNTIFS(AE$6:AE$29,AE19,C$6:C$29,C19)&gt;1),"Doublon",IF(AND(E19="Connues",SUMPRODUCT((E$6:E$29="Connues")*(C$6:C$29=C19)*(ROW($6:$29)&lt;&gt;ROW())*(ABS(H$6:H$29-H19)&lt;=2)*((ABS(H$6:H$29-VLOOKUP(C19,'Valeurs Règlement Campagne'!$A$4:$T$7,18,FALSE))&lt;=2)+(ABS(H$7:H$30-VLOOKUP(C19,'Valeurs Règlement Campagne'!$A$4:$T$7,19,FALSE))&lt;=2)+(ABS(H$6:H$29-VLOOKUP(C19,'Valeurs Règlement Campagne'!$A$4:$T$7,20,FALSE))&lt;=2)))&gt;0),"Doublon",IF($C19=0," ",IF(H19=0," ",IF(E19="Inconnues",AND(H19&gt;=O19,H19&lt;=P19),IF(AND('Valeurs Règlement Campagne'!$L$14="OUI",E19="Connues"),AND(H19&gt;=O19-2,H19&lt;=P19+2),OR(H19=O19,H19=O19+5,H19=P19))))))))</f>
        <v xml:space="preserve"> </v>
      </c>
      <c r="U19" s="110" t="str">
        <f>IF($C19=0," ",IF(I19=0," ",IF('Valeurs Règlement Campagne'!$L$14="OUI",AND(I19&gt;=O19-2,I19&lt;=Q19+2),OR(I19=O19,I19=O19+5,I19=Q19))))</f>
        <v xml:space="preserve"> </v>
      </c>
      <c r="V19" s="281" t="str">
        <f t="shared" si="6"/>
        <v xml:space="preserve"> </v>
      </c>
      <c r="W19" s="282"/>
      <c r="X19" s="282" t="str">
        <f t="shared" si="7"/>
        <v xml:space="preserve"> </v>
      </c>
      <c r="Y19" s="282"/>
      <c r="Z19" s="282" t="str">
        <f t="shared" si="8"/>
        <v xml:space="preserve"> </v>
      </c>
      <c r="AA19" s="283"/>
      <c r="AB19" s="114" t="str">
        <f t="shared" si="5"/>
        <v/>
      </c>
      <c r="AC19" s="100" t="str">
        <f>IF(
  E19="Connues",
  IF(
    ABS(F19 - VLOOKUP(C19,'Valeurs Règlement Campagne'!$A$4:$T$7,12,FALSE))&lt;=2,
    VLOOKUP(C19,'Valeurs Règlement Campagne'!$A$4:$T$7,12,FALSE),
    IF(
      ABS(F19 - VLOOKUP(C19,'Valeurs Règlement Campagne'!$A$4:$T$7,13,FALSE))&lt;=2,
      VLOOKUP(C19,'Valeurs Règlement Campagne'!$A$4:$T$7,13,FALSE),
      IF(
        ABS(F19 - VLOOKUP(C19,'Valeurs Règlement Campagne'!$A$4:$T$7,14,FALSE))&lt;=2,
        VLOOKUP(C19,'Valeurs Règlement Campagne'!$A$4:$T$7,14,FALSE),
        ""
      )
    )
  ),
  ""
)</f>
        <v/>
      </c>
      <c r="AD19" s="100" t="str">
        <f>IF(
  E19="Connues",
  IF(
    ABS(G19 - VLOOKUP(C19,'Valeurs Règlement Campagne'!$A$4:$T$7,15,FALSE))&lt;=2,
    VLOOKUP(C19,'Valeurs Règlement Campagne'!$A$4:$T$7,15,FALSE),
    IF(
      ABS(G19 - VLOOKUP(C19,'Valeurs Règlement Campagne'!$A$4:$T$7,16,FALSE))&lt;=2,
      VLOOKUP(C19,'Valeurs Règlement Campagne'!$A$4:$T$7,16,FALSE),
      IF(
        ABS(G19 - VLOOKUP(C19,'Valeurs Règlement Campagne'!$A$4:$T$7,17,FALSE))&lt;=2,
        VLOOKUP(C19,'Valeurs Règlement Campagne'!$A$4:$T$7,17,FALSE),
        ""
      )
    )
  ),
  ""
)</f>
        <v/>
      </c>
      <c r="AE19" s="100" t="str">
        <f>IF(
  E19="Connues",
  IF(
    ABS(H19 - VLOOKUP(C19,'Valeurs Règlement Campagne'!$A$4:$T$7,15,FALSE))&lt;=2,
    VLOOKUP(C19,'Valeurs Règlement Campagne'!$A$4:$T$7,15,FALSE),
    IF(
      ABS(H19 - VLOOKUP(C19,'Valeurs Règlement Campagne'!$A$4:$T$7,16,FALSE))&lt;=2,
      VLOOKUP(C19,'Valeurs Règlement Campagne'!$A$4:$T$7,16,FALSE),
      IF(
        ABS(H19 - VLOOKUP(C19,'Valeurs Règlement Campagne'!$A$4:$T$7,17,FALSE))&lt;=2,
        VLOOKUP(C19,'Valeurs Règlement Campagne'!$A$4:$T$7,17,FALSE),
        ""
      )
    )
  ),
  ""
)</f>
        <v/>
      </c>
    </row>
    <row r="20" spans="1:212" ht="20.75" customHeight="1" thickBot="1">
      <c r="A20" s="213">
        <v>15</v>
      </c>
      <c r="B20" s="310"/>
      <c r="C20" s="279"/>
      <c r="D20" s="280"/>
      <c r="E20" s="61"/>
      <c r="F20" s="167"/>
      <c r="G20" s="168"/>
      <c r="H20" s="169"/>
      <c r="I20" s="175"/>
      <c r="J20" s="101"/>
      <c r="K20" s="102" t="str">
        <f>IF($E20=0," ",IF($E20=$D$31,VLOOKUP($C20,'Valeurs Règlement Campagne'!$A$4:$T$7,12,FALSE),VLOOKUP($C20,'Valeurs Règlement Campagne'!$A$4:$I$7,4,FALSE)))</f>
        <v xml:space="preserve"> </v>
      </c>
      <c r="L20" s="103" t="str">
        <f>IF($E20=0," ",IF($E20=$D$31,VLOOKUP($C20,'Valeurs Règlement Campagne'!$A$4:$T$7,14,FALSE),VLOOKUP($C20,'Valeurs Règlement Campagne'!$A$4:$L$7,5,FALSE)))</f>
        <v xml:space="preserve"> </v>
      </c>
      <c r="M20" s="102" t="str">
        <f>IF($E20=0," ",IF($E20=$D$31,VLOOKUP($C20,'Valeurs Règlement Campagne'!$A$4:$T$7,15,FALSE),VLOOKUP($C20,'Valeurs Règlement Campagne'!$A$4:$M$7,6,FALSE)))</f>
        <v xml:space="preserve"> </v>
      </c>
      <c r="N20" s="104" t="str">
        <f>IF($E20=0," ",IF($E20=$D$31,VLOOKUP($C20,'Valeurs Règlement Campagne'!$A$4:$T$7,17,FALSE),VLOOKUP($C20,'Valeurs Règlement Campagne'!$A$4:$N$7,7,FALSE)))</f>
        <v xml:space="preserve"> </v>
      </c>
      <c r="O20" s="105" t="str">
        <f>IF($E20=0," ",IF($E20=$D$31,VLOOKUP($C20,'Valeurs Règlement Campagne'!$A$4:$T$7,18,FALSE),VLOOKUP($C20,'Valeurs Règlement Campagne'!$A$4:$O$7,8,FALSE)))</f>
        <v xml:space="preserve"> </v>
      </c>
      <c r="P20" s="104" t="str">
        <f>IF($E20=0," ",IF($E20=$D$31,VLOOKUP($C20,'Valeurs Règlement Campagne'!$A$4:$T$7,20,FALSE),VLOOKUP($C20,'Valeurs Règlement Campagne'!$A$4:$P$7,9,FALSE)))</f>
        <v xml:space="preserve"> </v>
      </c>
      <c r="Q20" s="111" t="str">
        <f t="shared" si="0"/>
        <v xml:space="preserve"> </v>
      </c>
      <c r="R20" s="112" t="str" cm="1">
        <f t="array" ref="R20">IF(C20=0," ",IF(AND(E20="Connues",AC20&lt;&gt;"",COUNTIFS(AC$6:AC$29,AC20,C$6:C$29,C20)&gt;1),"Doublon",IF(AND(E20="Connues",SUMPRODUCT((E$6:E$29="Connues")*(C$6:C$29=C20)*(ROW($6:$29)&lt;&gt;ROW())*(ABS(F$6:F$29-F20)&lt;=2)*((ABS(F$6:F$29-VLOOKUP(C20,'Valeurs Règlement Campagne'!$A$4:$T$7,12,FALSE))&lt;=2)+(ABS(F$6:F$29-VLOOKUP(C20,'Valeurs Règlement Campagne'!$A$4:$T$7,13,FALSE))&lt;=2)+(ABS(F$6:F$29-VLOOKUP(C20,'Valeurs Règlement Campagne'!$A$4:$T$7,14,FALSE))&lt;=2)))&gt;0),"Doublon",IF($C20=0," ",IF(F20=0," ",IF(E20="Inconnues",AND(F20&gt;=K20,F20&lt;=L20),IF(AND('Valeurs Règlement Campagne'!$L$14="OUI",E20="Connues"),AND(F20&gt;=K20-2,F20&lt;=L20+2),OR(F20=K20,F20=K20+5,F20=L20))))))))</f>
        <v xml:space="preserve"> </v>
      </c>
      <c r="S20" s="113" t="str" cm="1">
        <f t="array" ref="S20">IF(C20=0," ",IF(AND(E20="Connues",AD20&lt;&gt;"",COUNTIFS(AD$6:AD$29,AD20,C$6:C$29,C20)&gt;1),"Doublon",IF(AND(E20="Connues",SUMPRODUCT((E$6:E$29="Connues")*(C$6:C$29=C20)*(ROW($6:$29)&lt;&gt;ROW())*(ABS(G$6:G$29-G20)&lt;=2)*((ABS(G$6:G$29-VLOOKUP(C20,'Valeurs Règlement Campagne'!$A$4:$T$7,15,FALSE))&lt;=2)+(ABS(G$6:G$29-VLOOKUP(C20,'Valeurs Règlement Campagne'!$A$4:$T$7,16,FALSE))&lt;=2)+(ABS(G$6:G$29-VLOOKUP(C20,'Valeurs Règlement Campagne'!$A$4:$T$7,17,FALSE))&lt;=2)))&gt;0),"Doublon",IF($C20=0," ",IF(G20=0," ",IF(E20="Inconnues",AND(G20&gt;=M20,G20&lt;=N20),IF(AND('Valeurs Règlement Campagne'!$L$14="OUI",E20="Connues"),AND(G20&gt;=M20-2,G20&lt;=N20+2),OR(G20=M20,G20=M20+5,G20=N20))))))))</f>
        <v xml:space="preserve"> </v>
      </c>
      <c r="T20" s="113" t="str" cm="1">
        <f t="array" ref="T20">IF(C20=0," ",IF(AND(E20="Connues",AE20&lt;&gt;"",COUNTIFS(AE$6:AE$29,AE20,C$6:C$29,C20)&gt;1),"Doublon",IF(AND(E20="Connues",SUMPRODUCT((E$6:E$29="Connues")*(C$6:C$29=C20)*(ROW($6:$29)&lt;&gt;ROW())*(ABS(H$6:H$29-H20)&lt;=2)*((ABS(H$6:H$29-VLOOKUP(C20,'Valeurs Règlement Campagne'!$A$4:$T$7,18,FALSE))&lt;=2)+(ABS(H$7:H$30-VLOOKUP(C20,'Valeurs Règlement Campagne'!$A$4:$T$7,19,FALSE))&lt;=2)+(ABS(H$6:H$29-VLOOKUP(C20,'Valeurs Règlement Campagne'!$A$4:$T$7,20,FALSE))&lt;=2)))&gt;0),"Doublon",IF($C20=0," ",IF(H20=0," ",IF(E20="Inconnues",AND(H20&gt;=O20,H20&lt;=P20),IF(AND('Valeurs Règlement Campagne'!$L$14="OUI",E20="Connues"),AND(H20&gt;=O20-2,H20&lt;=P20+2),OR(H20=O20,H20=O20+5,H20=P20))))))))</f>
        <v xml:space="preserve"> </v>
      </c>
      <c r="U20" s="110" t="str">
        <f>IF($C20=0," ",IF(I20=0," ",IF('Valeurs Règlement Campagne'!$L$14="OUI",AND(I20&gt;=O20-2,I20&lt;=Q20+2),OR(I20=O20,I20=O20+5,I20=Q20))))</f>
        <v xml:space="preserve"> </v>
      </c>
      <c r="V20" s="281" t="str">
        <f t="shared" si="6"/>
        <v xml:space="preserve"> </v>
      </c>
      <c r="W20" s="282"/>
      <c r="X20" s="282" t="str">
        <f t="shared" si="7"/>
        <v xml:space="preserve"> </v>
      </c>
      <c r="Y20" s="282"/>
      <c r="Z20" s="282" t="str">
        <f t="shared" si="8"/>
        <v xml:space="preserve"> </v>
      </c>
      <c r="AA20" s="283"/>
      <c r="AB20" s="114" t="str">
        <f t="shared" si="5"/>
        <v/>
      </c>
      <c r="AC20" s="100" t="str">
        <f>IF(
  E20="Connues",
  IF(
    ABS(F20 - VLOOKUP(C20,'Valeurs Règlement Campagne'!$A$4:$T$7,12,FALSE))&lt;=2,
    VLOOKUP(C20,'Valeurs Règlement Campagne'!$A$4:$T$7,12,FALSE),
    IF(
      ABS(F20 - VLOOKUP(C20,'Valeurs Règlement Campagne'!$A$4:$T$7,13,FALSE))&lt;=2,
      VLOOKUP(C20,'Valeurs Règlement Campagne'!$A$4:$T$7,13,FALSE),
      IF(
        ABS(F20 - VLOOKUP(C20,'Valeurs Règlement Campagne'!$A$4:$T$7,14,FALSE))&lt;=2,
        VLOOKUP(C20,'Valeurs Règlement Campagne'!$A$4:$T$7,14,FALSE),
        ""
      )
    )
  ),
  ""
)</f>
        <v/>
      </c>
      <c r="AD20" s="100" t="str">
        <f>IF(
  E20="Connues",
  IF(
    ABS(G20 - VLOOKUP(C20,'Valeurs Règlement Campagne'!$A$4:$T$7,15,FALSE))&lt;=2,
    VLOOKUP(C20,'Valeurs Règlement Campagne'!$A$4:$T$7,15,FALSE),
    IF(
      ABS(G20 - VLOOKUP(C20,'Valeurs Règlement Campagne'!$A$4:$T$7,16,FALSE))&lt;=2,
      VLOOKUP(C20,'Valeurs Règlement Campagne'!$A$4:$T$7,16,FALSE),
      IF(
        ABS(G20 - VLOOKUP(C20,'Valeurs Règlement Campagne'!$A$4:$T$7,17,FALSE))&lt;=2,
        VLOOKUP(C20,'Valeurs Règlement Campagne'!$A$4:$T$7,17,FALSE),
        ""
      )
    )
  ),
  ""
)</f>
        <v/>
      </c>
      <c r="AE20" s="100" t="str">
        <f>IF(
  E20="Connues",
  IF(
    ABS(H20 - VLOOKUP(C20,'Valeurs Règlement Campagne'!$A$4:$T$7,15,FALSE))&lt;=2,
    VLOOKUP(C20,'Valeurs Règlement Campagne'!$A$4:$T$7,15,FALSE),
    IF(
      ABS(H20 - VLOOKUP(C20,'Valeurs Règlement Campagne'!$A$4:$T$7,16,FALSE))&lt;=2,
      VLOOKUP(C20,'Valeurs Règlement Campagne'!$A$4:$T$7,16,FALSE),
      IF(
        ABS(H20 - VLOOKUP(C20,'Valeurs Règlement Campagne'!$A$4:$T$7,17,FALSE))&lt;=2,
        VLOOKUP(C20,'Valeurs Règlement Campagne'!$A$4:$T$7,17,FALSE),
        ""
      )
    )
  ),
  ""
)</f>
        <v/>
      </c>
    </row>
    <row r="21" spans="1:212" ht="20.75" customHeight="1" thickBot="1">
      <c r="A21" s="213">
        <v>16</v>
      </c>
      <c r="B21" s="310"/>
      <c r="C21" s="279"/>
      <c r="D21" s="280"/>
      <c r="E21" s="61"/>
      <c r="F21" s="167"/>
      <c r="G21" s="168"/>
      <c r="H21" s="169"/>
      <c r="I21" s="175"/>
      <c r="J21" s="101"/>
      <c r="K21" s="102" t="str">
        <f>IF($E21=0," ",IF($E21=$D$31,VLOOKUP($C21,'Valeurs Règlement Campagne'!$A$4:$T$7,12,FALSE),VLOOKUP($C21,'Valeurs Règlement Campagne'!$A$4:$I$7,4,FALSE)))</f>
        <v xml:space="preserve"> </v>
      </c>
      <c r="L21" s="103" t="str">
        <f>IF($E21=0," ",IF($E21=$D$31,VLOOKUP($C21,'Valeurs Règlement Campagne'!$A$4:$T$7,14,FALSE),VLOOKUP($C21,'Valeurs Règlement Campagne'!$A$4:$L$7,5,FALSE)))</f>
        <v xml:space="preserve"> </v>
      </c>
      <c r="M21" s="102" t="str">
        <f>IF($E21=0," ",IF($E21=$D$31,VLOOKUP($C21,'Valeurs Règlement Campagne'!$A$4:$T$7,15,FALSE),VLOOKUP($C21,'Valeurs Règlement Campagne'!$A$4:$M$7,6,FALSE)))</f>
        <v xml:space="preserve"> </v>
      </c>
      <c r="N21" s="104" t="str">
        <f>IF($E21=0," ",IF($E21=$D$31,VLOOKUP($C21,'Valeurs Règlement Campagne'!$A$4:$T$7,17,FALSE),VLOOKUP($C21,'Valeurs Règlement Campagne'!$A$4:$N$7,7,FALSE)))</f>
        <v xml:space="preserve"> </v>
      </c>
      <c r="O21" s="105" t="str">
        <f>IF($E21=0," ",IF($E21=$D$31,VLOOKUP($C21,'Valeurs Règlement Campagne'!$A$4:$T$7,18,FALSE),VLOOKUP($C21,'Valeurs Règlement Campagne'!$A$4:$O$7,8,FALSE)))</f>
        <v xml:space="preserve"> </v>
      </c>
      <c r="P21" s="104" t="str">
        <f>IF($E21=0," ",IF($E21=$D$31,VLOOKUP($C21,'Valeurs Règlement Campagne'!$A$4:$T$7,20,FALSE),VLOOKUP($C21,'Valeurs Règlement Campagne'!$A$4:$P$7,9,FALSE)))</f>
        <v xml:space="preserve"> </v>
      </c>
      <c r="Q21" s="111" t="str">
        <f t="shared" si="0"/>
        <v xml:space="preserve"> </v>
      </c>
      <c r="R21" s="112" t="str" cm="1">
        <f t="array" ref="R21">IF(C21=0," ",IF(AND(E21="Connues",AC21&lt;&gt;"",COUNTIFS(AC$6:AC$29,AC21,C$6:C$29,C21)&gt;1),"Doublon",IF(AND(E21="Connues",SUMPRODUCT((E$6:E$29="Connues")*(C$6:C$29=C21)*(ROW($6:$29)&lt;&gt;ROW())*(ABS(F$6:F$29-F21)&lt;=2)*((ABS(F$6:F$29-VLOOKUP(C21,'Valeurs Règlement Campagne'!$A$4:$T$7,12,FALSE))&lt;=2)+(ABS(F$6:F$29-VLOOKUP(C21,'Valeurs Règlement Campagne'!$A$4:$T$7,13,FALSE))&lt;=2)+(ABS(F$6:F$29-VLOOKUP(C21,'Valeurs Règlement Campagne'!$A$4:$T$7,14,FALSE))&lt;=2)))&gt;0),"Doublon",IF($C21=0," ",IF(F21=0," ",IF(E21="Inconnues",AND(F21&gt;=K21,F21&lt;=L21),IF(AND('Valeurs Règlement Campagne'!$L$14="OUI",E21="Connues"),AND(F21&gt;=K21-2,F21&lt;=L21+2),OR(F21=K21,F21=K21+5,F21=L21))))))))</f>
        <v xml:space="preserve"> </v>
      </c>
      <c r="S21" s="113" t="str" cm="1">
        <f t="array" ref="S21">IF(C21=0," ",IF(AND(E21="Connues",AD21&lt;&gt;"",COUNTIFS(AD$6:AD$29,AD21,C$6:C$29,C21)&gt;1),"Doublon",IF(AND(E21="Connues",SUMPRODUCT((E$6:E$29="Connues")*(C$6:C$29=C21)*(ROW($6:$29)&lt;&gt;ROW())*(ABS(G$6:G$29-G21)&lt;=2)*((ABS(G$6:G$29-VLOOKUP(C21,'Valeurs Règlement Campagne'!$A$4:$T$7,15,FALSE))&lt;=2)+(ABS(G$6:G$29-VLOOKUP(C21,'Valeurs Règlement Campagne'!$A$4:$T$7,16,FALSE))&lt;=2)+(ABS(G$6:G$29-VLOOKUP(C21,'Valeurs Règlement Campagne'!$A$4:$T$7,17,FALSE))&lt;=2)))&gt;0),"Doublon",IF($C21=0," ",IF(G21=0," ",IF(E21="Inconnues",AND(G21&gt;=M21,G21&lt;=N21),IF(AND('Valeurs Règlement Campagne'!$L$14="OUI",E21="Connues"),AND(G21&gt;=M21-2,G21&lt;=N21+2),OR(G21=M21,G21=M21+5,G21=N21))))))))</f>
        <v xml:space="preserve"> </v>
      </c>
      <c r="T21" s="113" t="str" cm="1">
        <f t="array" ref="T21">IF(C21=0," ",IF(AND(E21="Connues",AE21&lt;&gt;"",COUNTIFS(AE$6:AE$29,AE21,C$6:C$29,C21)&gt;1),"Doublon",IF(AND(E21="Connues",SUMPRODUCT((E$6:E$29="Connues")*(C$6:C$29=C21)*(ROW($6:$29)&lt;&gt;ROW())*(ABS(H$6:H$29-H21)&lt;=2)*((ABS(H$6:H$29-VLOOKUP(C21,'Valeurs Règlement Campagne'!$A$4:$T$7,18,FALSE))&lt;=2)+(ABS(H$7:H$30-VLOOKUP(C21,'Valeurs Règlement Campagne'!$A$4:$T$7,19,FALSE))&lt;=2)+(ABS(H$6:H$29-VLOOKUP(C21,'Valeurs Règlement Campagne'!$A$4:$T$7,20,FALSE))&lt;=2)))&gt;0),"Doublon",IF($C21=0," ",IF(H21=0," ",IF(E21="Inconnues",AND(H21&gt;=O21,H21&lt;=P21),IF(AND('Valeurs Règlement Campagne'!$L$14="OUI",E21="Connues"),AND(H21&gt;=O21-2,H21&lt;=P21+2),OR(H21=O21,H21=O21+5,H21=P21))))))))</f>
        <v xml:space="preserve"> </v>
      </c>
      <c r="U21" s="110" t="str">
        <f>IF($C21=0," ",IF(I21=0," ",IF('Valeurs Règlement Campagne'!$L$14="OUI",AND(I21&gt;=O21-2,I21&lt;=Q21+2),OR(I21=O21,I21=O21+5,I21=Q21))))</f>
        <v xml:space="preserve"> </v>
      </c>
      <c r="V21" s="281" t="str">
        <f t="shared" si="6"/>
        <v xml:space="preserve"> </v>
      </c>
      <c r="W21" s="282"/>
      <c r="X21" s="282" t="str">
        <f t="shared" si="7"/>
        <v xml:space="preserve"> </v>
      </c>
      <c r="Y21" s="282"/>
      <c r="Z21" s="282" t="str">
        <f t="shared" si="8"/>
        <v xml:space="preserve"> </v>
      </c>
      <c r="AA21" s="283"/>
      <c r="AB21" s="114" t="str">
        <f t="shared" si="5"/>
        <v/>
      </c>
      <c r="AC21" s="100" t="str">
        <f>IF(
  E21="Connues",
  IF(
    ABS(F21 - VLOOKUP(C21,'Valeurs Règlement Campagne'!$A$4:$T$7,12,FALSE))&lt;=2,
    VLOOKUP(C21,'Valeurs Règlement Campagne'!$A$4:$T$7,12,FALSE),
    IF(
      ABS(F21 - VLOOKUP(C21,'Valeurs Règlement Campagne'!$A$4:$T$7,13,FALSE))&lt;=2,
      VLOOKUP(C21,'Valeurs Règlement Campagne'!$A$4:$T$7,13,FALSE),
      IF(
        ABS(F21 - VLOOKUP(C21,'Valeurs Règlement Campagne'!$A$4:$T$7,14,FALSE))&lt;=2,
        VLOOKUP(C21,'Valeurs Règlement Campagne'!$A$4:$T$7,14,FALSE),
        ""
      )
    )
  ),
  ""
)</f>
        <v/>
      </c>
      <c r="AD21" s="100" t="str">
        <f>IF(
  E21="Connues",
  IF(
    ABS(G21 - VLOOKUP(C21,'Valeurs Règlement Campagne'!$A$4:$T$7,15,FALSE))&lt;=2,
    VLOOKUP(C21,'Valeurs Règlement Campagne'!$A$4:$T$7,15,FALSE),
    IF(
      ABS(G21 - VLOOKUP(C21,'Valeurs Règlement Campagne'!$A$4:$T$7,16,FALSE))&lt;=2,
      VLOOKUP(C21,'Valeurs Règlement Campagne'!$A$4:$T$7,16,FALSE),
      IF(
        ABS(G21 - VLOOKUP(C21,'Valeurs Règlement Campagne'!$A$4:$T$7,17,FALSE))&lt;=2,
        VLOOKUP(C21,'Valeurs Règlement Campagne'!$A$4:$T$7,17,FALSE),
        ""
      )
    )
  ),
  ""
)</f>
        <v/>
      </c>
      <c r="AE21" s="100" t="str">
        <f>IF(
  E21="Connues",
  IF(
    ABS(H21 - VLOOKUP(C21,'Valeurs Règlement Campagne'!$A$4:$T$7,15,FALSE))&lt;=2,
    VLOOKUP(C21,'Valeurs Règlement Campagne'!$A$4:$T$7,15,FALSE),
    IF(
      ABS(H21 - VLOOKUP(C21,'Valeurs Règlement Campagne'!$A$4:$T$7,16,FALSE))&lt;=2,
      VLOOKUP(C21,'Valeurs Règlement Campagne'!$A$4:$T$7,16,FALSE),
      IF(
        ABS(H21 - VLOOKUP(C21,'Valeurs Règlement Campagne'!$A$4:$T$7,17,FALSE))&lt;=2,
        VLOOKUP(C21,'Valeurs Règlement Campagne'!$A$4:$T$7,17,FALSE),
        ""
      )
    )
  ),
  ""
)</f>
        <v/>
      </c>
    </row>
    <row r="22" spans="1:212" ht="20.75" customHeight="1" thickBot="1">
      <c r="A22" s="213">
        <v>17</v>
      </c>
      <c r="B22" s="310"/>
      <c r="C22" s="279"/>
      <c r="D22" s="280"/>
      <c r="E22" s="61"/>
      <c r="F22" s="167"/>
      <c r="G22" s="168"/>
      <c r="H22" s="169"/>
      <c r="I22" s="175"/>
      <c r="J22" s="101"/>
      <c r="K22" s="102" t="str">
        <f>IF($E22=0," ",IF($E22=$D$31,VLOOKUP($C22,'Valeurs Règlement Campagne'!$A$4:$T$7,12,FALSE),VLOOKUP($C22,'Valeurs Règlement Campagne'!$A$4:$I$7,4,FALSE)))</f>
        <v xml:space="preserve"> </v>
      </c>
      <c r="L22" s="103" t="str">
        <f>IF($E22=0," ",IF($E22=$D$31,VLOOKUP($C22,'Valeurs Règlement Campagne'!$A$4:$T$7,14,FALSE),VLOOKUP($C22,'Valeurs Règlement Campagne'!$A$4:$L$7,5,FALSE)))</f>
        <v xml:space="preserve"> </v>
      </c>
      <c r="M22" s="102" t="str">
        <f>IF($E22=0," ",IF($E22=$D$31,VLOOKUP($C22,'Valeurs Règlement Campagne'!$A$4:$T$7,15,FALSE),VLOOKUP($C22,'Valeurs Règlement Campagne'!$A$4:$M$7,6,FALSE)))</f>
        <v xml:space="preserve"> </v>
      </c>
      <c r="N22" s="104" t="str">
        <f>IF($E22=0," ",IF($E22=$D$31,VLOOKUP($C22,'Valeurs Règlement Campagne'!$A$4:$T$7,17,FALSE),VLOOKUP($C22,'Valeurs Règlement Campagne'!$A$4:$N$7,7,FALSE)))</f>
        <v xml:space="preserve"> </v>
      </c>
      <c r="O22" s="105" t="str">
        <f>IF($E22=0," ",IF($E22=$D$31,VLOOKUP($C22,'Valeurs Règlement Campagne'!$A$4:$T$7,18,FALSE),VLOOKUP($C22,'Valeurs Règlement Campagne'!$A$4:$O$7,8,FALSE)))</f>
        <v xml:space="preserve"> </v>
      </c>
      <c r="P22" s="104" t="str">
        <f>IF($E22=0," ",IF($E22=$D$31,VLOOKUP($C22,'Valeurs Règlement Campagne'!$A$4:$T$7,20,FALSE),VLOOKUP($C22,'Valeurs Règlement Campagne'!$A$4:$P$7,9,FALSE)))</f>
        <v xml:space="preserve"> </v>
      </c>
      <c r="Q22" s="111" t="str">
        <f t="shared" si="0"/>
        <v xml:space="preserve"> </v>
      </c>
      <c r="R22" s="112" t="str" cm="1">
        <f t="array" ref="R22">IF(C22=0," ",IF(AND(E22="Connues",AC22&lt;&gt;"",COUNTIFS(AC$6:AC$29,AC22,C$6:C$29,C22)&gt;1),"Doublon",IF(AND(E22="Connues",SUMPRODUCT((E$6:E$29="Connues")*(C$6:C$29=C22)*(ROW($6:$29)&lt;&gt;ROW())*(ABS(F$6:F$29-F22)&lt;=2)*((ABS(F$6:F$29-VLOOKUP(C22,'Valeurs Règlement Campagne'!$A$4:$T$7,12,FALSE))&lt;=2)+(ABS(F$6:F$29-VLOOKUP(C22,'Valeurs Règlement Campagne'!$A$4:$T$7,13,FALSE))&lt;=2)+(ABS(F$6:F$29-VLOOKUP(C22,'Valeurs Règlement Campagne'!$A$4:$T$7,14,FALSE))&lt;=2)))&gt;0),"Doublon",IF($C22=0," ",IF(F22=0," ",IF(E22="Inconnues",AND(F22&gt;=K22,F22&lt;=L22),IF(AND('Valeurs Règlement Campagne'!$L$14="OUI",E22="Connues"),AND(F22&gt;=K22-2,F22&lt;=L22+2),OR(F22=K22,F22=K22+5,F22=L22))))))))</f>
        <v xml:space="preserve"> </v>
      </c>
      <c r="S22" s="113" t="str" cm="1">
        <f t="array" ref="S22">IF(C22=0," ",IF(AND(E22="Connues",AD22&lt;&gt;"",COUNTIFS(AD$6:AD$29,AD22,C$6:C$29,C22)&gt;1),"Doublon",IF(AND(E22="Connues",SUMPRODUCT((E$6:E$29="Connues")*(C$6:C$29=C22)*(ROW($6:$29)&lt;&gt;ROW())*(ABS(G$6:G$29-G22)&lt;=2)*((ABS(G$6:G$29-VLOOKUP(C22,'Valeurs Règlement Campagne'!$A$4:$T$7,15,FALSE))&lt;=2)+(ABS(G$6:G$29-VLOOKUP(C22,'Valeurs Règlement Campagne'!$A$4:$T$7,16,FALSE))&lt;=2)+(ABS(G$6:G$29-VLOOKUP(C22,'Valeurs Règlement Campagne'!$A$4:$T$7,17,FALSE))&lt;=2)))&gt;0),"Doublon",IF($C22=0," ",IF(G22=0," ",IF(E22="Inconnues",AND(G22&gt;=M22,G22&lt;=N22),IF(AND('Valeurs Règlement Campagne'!$L$14="OUI",E22="Connues"),AND(G22&gt;=M22-2,G22&lt;=N22+2),OR(G22=M22,G22=M22+5,G22=N22))))))))</f>
        <v xml:space="preserve"> </v>
      </c>
      <c r="T22" s="113" t="str" cm="1">
        <f t="array" ref="T22">IF(C22=0," ",IF(AND(E22="Connues",AE22&lt;&gt;"",COUNTIFS(AE$6:AE$29,AE22,C$6:C$29,C22)&gt;1),"Doublon",IF(AND(E22="Connues",SUMPRODUCT((E$6:E$29="Connues")*(C$6:C$29=C22)*(ROW($6:$29)&lt;&gt;ROW())*(ABS(H$6:H$29-H22)&lt;=2)*((ABS(H$6:H$29-VLOOKUP(C22,'Valeurs Règlement Campagne'!$A$4:$T$7,18,FALSE))&lt;=2)+(ABS(H$7:H$30-VLOOKUP(C22,'Valeurs Règlement Campagne'!$A$4:$T$7,19,FALSE))&lt;=2)+(ABS(H$6:H$29-VLOOKUP(C22,'Valeurs Règlement Campagne'!$A$4:$T$7,20,FALSE))&lt;=2)))&gt;0),"Doublon",IF($C22=0," ",IF(H22=0," ",IF(E22="Inconnues",AND(H22&gt;=O22,H22&lt;=P22),IF(AND('Valeurs Règlement Campagne'!$L$14="OUI",E22="Connues"),AND(H22&gt;=O22-2,H22&lt;=P22+2),OR(H22=O22,H22=O22+5,H22=P22))))))))</f>
        <v xml:space="preserve"> </v>
      </c>
      <c r="U22" s="110" t="str">
        <f>IF($C22=0," ",IF(I22=0," ",IF('Valeurs Règlement Campagne'!$L$14="OUI",AND(I22&gt;=O22-2,I22&lt;=Q22+2),OR(I22=O22,I22=O22+5,I22=Q22))))</f>
        <v xml:space="preserve"> </v>
      </c>
      <c r="V22" s="281" t="str">
        <f t="shared" si="6"/>
        <v xml:space="preserve"> </v>
      </c>
      <c r="W22" s="282"/>
      <c r="X22" s="282" t="str">
        <f t="shared" si="7"/>
        <v xml:space="preserve"> </v>
      </c>
      <c r="Y22" s="282"/>
      <c r="Z22" s="282" t="str">
        <f t="shared" si="8"/>
        <v xml:space="preserve"> </v>
      </c>
      <c r="AA22" s="283"/>
      <c r="AB22" s="114" t="str">
        <f t="shared" si="5"/>
        <v/>
      </c>
      <c r="AC22" s="100" t="str">
        <f>IF(
  E22="Connues",
  IF(
    ABS(F22 - VLOOKUP(C22,'Valeurs Règlement Campagne'!$A$4:$T$7,12,FALSE))&lt;=2,
    VLOOKUP(C22,'Valeurs Règlement Campagne'!$A$4:$T$7,12,FALSE),
    IF(
      ABS(F22 - VLOOKUP(C22,'Valeurs Règlement Campagne'!$A$4:$T$7,13,FALSE))&lt;=2,
      VLOOKUP(C22,'Valeurs Règlement Campagne'!$A$4:$T$7,13,FALSE),
      IF(
        ABS(F22 - VLOOKUP(C22,'Valeurs Règlement Campagne'!$A$4:$T$7,14,FALSE))&lt;=2,
        VLOOKUP(C22,'Valeurs Règlement Campagne'!$A$4:$T$7,14,FALSE),
        ""
      )
    )
  ),
  ""
)</f>
        <v/>
      </c>
      <c r="AD22" s="100" t="str">
        <f>IF(
  E22="Connues",
  IF(
    ABS(G22 - VLOOKUP(C22,'Valeurs Règlement Campagne'!$A$4:$T$7,15,FALSE))&lt;=2,
    VLOOKUP(C22,'Valeurs Règlement Campagne'!$A$4:$T$7,15,FALSE),
    IF(
      ABS(G22 - VLOOKUP(C22,'Valeurs Règlement Campagne'!$A$4:$T$7,16,FALSE))&lt;=2,
      VLOOKUP(C22,'Valeurs Règlement Campagne'!$A$4:$T$7,16,FALSE),
      IF(
        ABS(G22 - VLOOKUP(C22,'Valeurs Règlement Campagne'!$A$4:$T$7,17,FALSE))&lt;=2,
        VLOOKUP(C22,'Valeurs Règlement Campagne'!$A$4:$T$7,17,FALSE),
        ""
      )
    )
  ),
  ""
)</f>
        <v/>
      </c>
      <c r="AE22" s="100" t="str">
        <f>IF(
  E22="Connues",
  IF(
    ABS(H22 - VLOOKUP(C22,'Valeurs Règlement Campagne'!$A$4:$T$7,15,FALSE))&lt;=2,
    VLOOKUP(C22,'Valeurs Règlement Campagne'!$A$4:$T$7,15,FALSE),
    IF(
      ABS(H22 - VLOOKUP(C22,'Valeurs Règlement Campagne'!$A$4:$T$7,16,FALSE))&lt;=2,
      VLOOKUP(C22,'Valeurs Règlement Campagne'!$A$4:$T$7,16,FALSE),
      IF(
        ABS(H22 - VLOOKUP(C22,'Valeurs Règlement Campagne'!$A$4:$T$7,17,FALSE))&lt;=2,
        VLOOKUP(C22,'Valeurs Règlement Campagne'!$A$4:$T$7,17,FALSE),
        ""
      )
    )
  ),
  ""
)</f>
        <v/>
      </c>
    </row>
    <row r="23" spans="1:212" ht="20.75" customHeight="1" thickBot="1">
      <c r="A23" s="213">
        <v>18</v>
      </c>
      <c r="B23" s="310"/>
      <c r="C23" s="279"/>
      <c r="D23" s="280"/>
      <c r="E23" s="61"/>
      <c r="F23" s="167"/>
      <c r="G23" s="168"/>
      <c r="H23" s="169"/>
      <c r="I23" s="175"/>
      <c r="J23" s="101"/>
      <c r="K23" s="102" t="str">
        <f>IF($E23=0," ",IF($E23=$D$31,VLOOKUP($C23,'Valeurs Règlement Campagne'!$A$4:$T$7,12,FALSE),VLOOKUP($C23,'Valeurs Règlement Campagne'!$A$4:$I$7,4,FALSE)))</f>
        <v xml:space="preserve"> </v>
      </c>
      <c r="L23" s="103" t="str">
        <f>IF($E23=0," ",IF($E23=$D$31,VLOOKUP($C23,'Valeurs Règlement Campagne'!$A$4:$T$7,14,FALSE),VLOOKUP($C23,'Valeurs Règlement Campagne'!$A$4:$L$7,5,FALSE)))</f>
        <v xml:space="preserve"> </v>
      </c>
      <c r="M23" s="102" t="str">
        <f>IF($E23=0," ",IF($E23=$D$31,VLOOKUP($C23,'Valeurs Règlement Campagne'!$A$4:$T$7,15,FALSE),VLOOKUP($C23,'Valeurs Règlement Campagne'!$A$4:$M$7,6,FALSE)))</f>
        <v xml:space="preserve"> </v>
      </c>
      <c r="N23" s="104" t="str">
        <f>IF($E23=0," ",IF($E23=$D$31,VLOOKUP($C23,'Valeurs Règlement Campagne'!$A$4:$T$7,17,FALSE),VLOOKUP($C23,'Valeurs Règlement Campagne'!$A$4:$N$7,7,FALSE)))</f>
        <v xml:space="preserve"> </v>
      </c>
      <c r="O23" s="105" t="str">
        <f>IF($E23=0," ",IF($E23=$D$31,VLOOKUP($C23,'Valeurs Règlement Campagne'!$A$4:$T$7,18,FALSE),VLOOKUP($C23,'Valeurs Règlement Campagne'!$A$4:$O$7,8,FALSE)))</f>
        <v xml:space="preserve"> </v>
      </c>
      <c r="P23" s="104" t="str">
        <f>IF($E23=0," ",IF($E23=$D$31,VLOOKUP($C23,'Valeurs Règlement Campagne'!$A$4:$T$7,20,FALSE),VLOOKUP($C23,'Valeurs Règlement Campagne'!$A$4:$P$7,9,FALSE)))</f>
        <v xml:space="preserve"> </v>
      </c>
      <c r="Q23" s="111" t="str">
        <f t="shared" si="0"/>
        <v xml:space="preserve"> </v>
      </c>
      <c r="R23" s="112" t="str" cm="1">
        <f t="array" ref="R23">IF(C23=0," ",IF(AND(E23="Connues",AC23&lt;&gt;"",COUNTIFS(AC$6:AC$29,AC23,C$6:C$29,C23)&gt;1),"Doublon",IF(AND(E23="Connues",SUMPRODUCT((E$6:E$29="Connues")*(C$6:C$29=C23)*(ROW($6:$29)&lt;&gt;ROW())*(ABS(F$6:F$29-F23)&lt;=2)*((ABS(F$6:F$29-VLOOKUP(C23,'Valeurs Règlement Campagne'!$A$4:$T$7,12,FALSE))&lt;=2)+(ABS(F$6:F$29-VLOOKUP(C23,'Valeurs Règlement Campagne'!$A$4:$T$7,13,FALSE))&lt;=2)+(ABS(F$6:F$29-VLOOKUP(C23,'Valeurs Règlement Campagne'!$A$4:$T$7,14,FALSE))&lt;=2)))&gt;0),"Doublon",IF($C23=0," ",IF(F23=0," ",IF(E23="Inconnues",AND(F23&gt;=K23,F23&lt;=L23),IF(AND('Valeurs Règlement Campagne'!$L$14="OUI",E23="Connues"),AND(F23&gt;=K23-2,F23&lt;=L23+2),OR(F23=K23,F23=K23+5,F23=L23))))))))</f>
        <v xml:space="preserve"> </v>
      </c>
      <c r="S23" s="113" t="str" cm="1">
        <f t="array" ref="S23">IF(C23=0," ",IF(AND(E23="Connues",AD23&lt;&gt;"",COUNTIFS(AD$6:AD$29,AD23,C$6:C$29,C23)&gt;1),"Doublon",IF(AND(E23="Connues",SUMPRODUCT((E$6:E$29="Connues")*(C$6:C$29=C23)*(ROW($6:$29)&lt;&gt;ROW())*(ABS(G$6:G$29-G23)&lt;=2)*((ABS(G$6:G$29-VLOOKUP(C23,'Valeurs Règlement Campagne'!$A$4:$T$7,15,FALSE))&lt;=2)+(ABS(G$6:G$29-VLOOKUP(C23,'Valeurs Règlement Campagne'!$A$4:$T$7,16,FALSE))&lt;=2)+(ABS(G$6:G$29-VLOOKUP(C23,'Valeurs Règlement Campagne'!$A$4:$T$7,17,FALSE))&lt;=2)))&gt;0),"Doublon",IF($C23=0," ",IF(G23=0," ",IF(E23="Inconnues",AND(G23&gt;=M23,G23&lt;=N23),IF(AND('Valeurs Règlement Campagne'!$L$14="OUI",E23="Connues"),AND(G23&gt;=M23-2,G23&lt;=N23+2),OR(G23=M23,G23=M23+5,G23=N23))))))))</f>
        <v xml:space="preserve"> </v>
      </c>
      <c r="T23" s="113" t="str" cm="1">
        <f t="array" ref="T23">IF(C23=0," ",IF(AND(E23="Connues",AE23&lt;&gt;"",COUNTIFS(AE$6:AE$29,AE23,C$6:C$29,C23)&gt;1),"Doublon",IF(AND(E23="Connues",SUMPRODUCT((E$6:E$29="Connues")*(C$6:C$29=C23)*(ROW($6:$29)&lt;&gt;ROW())*(ABS(H$6:H$29-H23)&lt;=2)*((ABS(H$6:H$29-VLOOKUP(C23,'Valeurs Règlement Campagne'!$A$4:$T$7,18,FALSE))&lt;=2)+(ABS(H$7:H$30-VLOOKUP(C23,'Valeurs Règlement Campagne'!$A$4:$T$7,19,FALSE))&lt;=2)+(ABS(H$6:H$29-VLOOKUP(C23,'Valeurs Règlement Campagne'!$A$4:$T$7,20,FALSE))&lt;=2)))&gt;0),"Doublon",IF($C23=0," ",IF(H23=0," ",IF(E23="Inconnues",AND(H23&gt;=O23,H23&lt;=P23),IF(AND('Valeurs Règlement Campagne'!$L$14="OUI",E23="Connues"),AND(H23&gt;=O23-2,H23&lt;=P23+2),OR(H23=O23,H23=O23+5,H23=P23))))))))</f>
        <v xml:space="preserve"> </v>
      </c>
      <c r="U23" s="110" t="str">
        <f>IF($C23=0," ",IF(I23=0," ",IF('Valeurs Règlement Campagne'!$L$14="OUI",AND(I23&gt;=O23-2,I23&lt;=Q23+2),OR(I23=O23,I23=O23+5,I23=Q23))))</f>
        <v xml:space="preserve"> </v>
      </c>
      <c r="V23" s="281" t="str">
        <f t="shared" si="6"/>
        <v xml:space="preserve"> </v>
      </c>
      <c r="W23" s="282"/>
      <c r="X23" s="282" t="str">
        <f t="shared" si="7"/>
        <v xml:space="preserve"> </v>
      </c>
      <c r="Y23" s="282"/>
      <c r="Z23" s="282" t="str">
        <f t="shared" si="8"/>
        <v xml:space="preserve"> </v>
      </c>
      <c r="AA23" s="283"/>
      <c r="AB23" s="114" t="str">
        <f t="shared" si="5"/>
        <v/>
      </c>
      <c r="AC23" s="100" t="str">
        <f>IF(
  E23="Connues",
  IF(
    ABS(F23 - VLOOKUP(C23,'Valeurs Règlement Campagne'!$A$4:$T$7,12,FALSE))&lt;=2,
    VLOOKUP(C23,'Valeurs Règlement Campagne'!$A$4:$T$7,12,FALSE),
    IF(
      ABS(F23 - VLOOKUP(C23,'Valeurs Règlement Campagne'!$A$4:$T$7,13,FALSE))&lt;=2,
      VLOOKUP(C23,'Valeurs Règlement Campagne'!$A$4:$T$7,13,FALSE),
      IF(
        ABS(F23 - VLOOKUP(C23,'Valeurs Règlement Campagne'!$A$4:$T$7,14,FALSE))&lt;=2,
        VLOOKUP(C23,'Valeurs Règlement Campagne'!$A$4:$T$7,14,FALSE),
        ""
      )
    )
  ),
  ""
)</f>
        <v/>
      </c>
      <c r="AD23" s="100" t="str">
        <f>IF(
  E23="Connues",
  IF(
    ABS(G23 - VLOOKUP(C23,'Valeurs Règlement Campagne'!$A$4:$T$7,15,FALSE))&lt;=2,
    VLOOKUP(C23,'Valeurs Règlement Campagne'!$A$4:$T$7,15,FALSE),
    IF(
      ABS(G23 - VLOOKUP(C23,'Valeurs Règlement Campagne'!$A$4:$T$7,16,FALSE))&lt;=2,
      VLOOKUP(C23,'Valeurs Règlement Campagne'!$A$4:$T$7,16,FALSE),
      IF(
        ABS(G23 - VLOOKUP(C23,'Valeurs Règlement Campagne'!$A$4:$T$7,17,FALSE))&lt;=2,
        VLOOKUP(C23,'Valeurs Règlement Campagne'!$A$4:$T$7,17,FALSE),
        ""
      )
    )
  ),
  ""
)</f>
        <v/>
      </c>
      <c r="AE23" s="100" t="str">
        <f>IF(
  E23="Connues",
  IF(
    ABS(H23 - VLOOKUP(C23,'Valeurs Règlement Campagne'!$A$4:$T$7,15,FALSE))&lt;=2,
    VLOOKUP(C23,'Valeurs Règlement Campagne'!$A$4:$T$7,15,FALSE),
    IF(
      ABS(H23 - VLOOKUP(C23,'Valeurs Règlement Campagne'!$A$4:$T$7,16,FALSE))&lt;=2,
      VLOOKUP(C23,'Valeurs Règlement Campagne'!$A$4:$T$7,16,FALSE),
      IF(
        ABS(H23 - VLOOKUP(C23,'Valeurs Règlement Campagne'!$A$4:$T$7,17,FALSE))&lt;=2,
        VLOOKUP(C23,'Valeurs Règlement Campagne'!$A$4:$T$7,17,FALSE),
        ""
      )
    )
  ),
  ""
)</f>
        <v/>
      </c>
    </row>
    <row r="24" spans="1:212" ht="20.75" customHeight="1" thickBot="1">
      <c r="A24" s="213">
        <v>19</v>
      </c>
      <c r="B24" s="310"/>
      <c r="C24" s="279"/>
      <c r="D24" s="280"/>
      <c r="E24" s="61"/>
      <c r="F24" s="167"/>
      <c r="G24" s="168"/>
      <c r="H24" s="169"/>
      <c r="I24" s="175"/>
      <c r="J24" s="101"/>
      <c r="K24" s="102" t="str">
        <f>IF($E24=0," ",IF($E24=$D$31,VLOOKUP($C24,'Valeurs Règlement Campagne'!$A$4:$T$7,12,FALSE),VLOOKUP($C24,'Valeurs Règlement Campagne'!$A$4:$I$7,4,FALSE)))</f>
        <v xml:space="preserve"> </v>
      </c>
      <c r="L24" s="103" t="str">
        <f>IF($E24=0," ",IF($E24=$D$31,VLOOKUP($C24,'Valeurs Règlement Campagne'!$A$4:$T$7,14,FALSE),VLOOKUP($C24,'Valeurs Règlement Campagne'!$A$4:$L$7,5,FALSE)))</f>
        <v xml:space="preserve"> </v>
      </c>
      <c r="M24" s="102" t="str">
        <f>IF($E24=0," ",IF($E24=$D$31,VLOOKUP($C24,'Valeurs Règlement Campagne'!$A$4:$T$7,15,FALSE),VLOOKUP($C24,'Valeurs Règlement Campagne'!$A$4:$M$7,6,FALSE)))</f>
        <v xml:space="preserve"> </v>
      </c>
      <c r="N24" s="104" t="str">
        <f>IF($E24=0," ",IF($E24=$D$31,VLOOKUP($C24,'Valeurs Règlement Campagne'!$A$4:$T$7,17,FALSE),VLOOKUP($C24,'Valeurs Règlement Campagne'!$A$4:$N$7,7,FALSE)))</f>
        <v xml:space="preserve"> </v>
      </c>
      <c r="O24" s="105" t="str">
        <f>IF($E24=0," ",IF($E24=$D$31,VLOOKUP($C24,'Valeurs Règlement Campagne'!$A$4:$T$7,18,FALSE),VLOOKUP($C24,'Valeurs Règlement Campagne'!$A$4:$O$7,8,FALSE)))</f>
        <v xml:space="preserve"> </v>
      </c>
      <c r="P24" s="104" t="str">
        <f>IF($E24=0," ",IF($E24=$D$31,VLOOKUP($C24,'Valeurs Règlement Campagne'!$A$4:$T$7,20,FALSE),VLOOKUP($C24,'Valeurs Règlement Campagne'!$A$4:$P$7,9,FALSE)))</f>
        <v xml:space="preserve"> </v>
      </c>
      <c r="Q24" s="111" t="str">
        <f t="shared" si="0"/>
        <v xml:space="preserve"> </v>
      </c>
      <c r="R24" s="112" t="str" cm="1">
        <f t="array" ref="R24">IF(C24=0," ",IF(AND(E24="Connues",AC24&lt;&gt;"",COUNTIFS(AC$6:AC$29,AC24,C$6:C$29,C24)&gt;1),"Doublon",IF(AND(E24="Connues",SUMPRODUCT((E$6:E$29="Connues")*(C$6:C$29=C24)*(ROW($6:$29)&lt;&gt;ROW())*(ABS(F$6:F$29-F24)&lt;=2)*((ABS(F$6:F$29-VLOOKUP(C24,'Valeurs Règlement Campagne'!$A$4:$T$7,12,FALSE))&lt;=2)+(ABS(F$6:F$29-VLOOKUP(C24,'Valeurs Règlement Campagne'!$A$4:$T$7,13,FALSE))&lt;=2)+(ABS(F$6:F$29-VLOOKUP(C24,'Valeurs Règlement Campagne'!$A$4:$T$7,14,FALSE))&lt;=2)))&gt;0),"Doublon",IF($C24=0," ",IF(F24=0," ",IF(E24="Inconnues",AND(F24&gt;=K24,F24&lt;=L24),IF(AND('Valeurs Règlement Campagne'!$L$14="OUI",E24="Connues"),AND(F24&gt;=K24-2,F24&lt;=L24+2),OR(F24=K24,F24=K24+5,F24=L24))))))))</f>
        <v xml:space="preserve"> </v>
      </c>
      <c r="S24" s="113" t="str" cm="1">
        <f t="array" ref="S24">IF(C24=0," ",IF(AND(E24="Connues",AD24&lt;&gt;"",COUNTIFS(AD$6:AD$29,AD24,C$6:C$29,C24)&gt;1),"Doublon",IF(AND(E24="Connues",SUMPRODUCT((E$6:E$29="Connues")*(C$6:C$29=C24)*(ROW($6:$29)&lt;&gt;ROW())*(ABS(G$6:G$29-G24)&lt;=2)*((ABS(G$6:G$29-VLOOKUP(C24,'Valeurs Règlement Campagne'!$A$4:$T$7,15,FALSE))&lt;=2)+(ABS(G$6:G$29-VLOOKUP(C24,'Valeurs Règlement Campagne'!$A$4:$T$7,16,FALSE))&lt;=2)+(ABS(G$6:G$29-VLOOKUP(C24,'Valeurs Règlement Campagne'!$A$4:$T$7,17,FALSE))&lt;=2)))&gt;0),"Doublon",IF($C24=0," ",IF(G24=0," ",IF(E24="Inconnues",AND(G24&gt;=M24,G24&lt;=N24),IF(AND('Valeurs Règlement Campagne'!$L$14="OUI",E24="Connues"),AND(G24&gt;=M24-2,G24&lt;=N24+2),OR(G24=M24,G24=M24+5,G24=N24))))))))</f>
        <v xml:space="preserve"> </v>
      </c>
      <c r="T24" s="113" t="str" cm="1">
        <f t="array" ref="T24">IF(C24=0," ",IF(AND(E24="Connues",AE24&lt;&gt;"",COUNTIFS(AE$6:AE$29,AE24,C$6:C$29,C24)&gt;1),"Doublon",IF(AND(E24="Connues",SUMPRODUCT((E$6:E$29="Connues")*(C$6:C$29=C24)*(ROW($6:$29)&lt;&gt;ROW())*(ABS(H$6:H$29-H24)&lt;=2)*((ABS(H$6:H$29-VLOOKUP(C24,'Valeurs Règlement Campagne'!$A$4:$T$7,18,FALSE))&lt;=2)+(ABS(H$7:H$30-VLOOKUP(C24,'Valeurs Règlement Campagne'!$A$4:$T$7,19,FALSE))&lt;=2)+(ABS(H$6:H$29-VLOOKUP(C24,'Valeurs Règlement Campagne'!$A$4:$T$7,20,FALSE))&lt;=2)))&gt;0),"Doublon",IF($C24=0," ",IF(H24=0," ",IF(E24="Inconnues",AND(H24&gt;=O24,H24&lt;=P24),IF(AND('Valeurs Règlement Campagne'!$L$14="OUI",E24="Connues"),AND(H24&gt;=O24-2,H24&lt;=P24+2),OR(H24=O24,H24=O24+5,H24=P24))))))))</f>
        <v xml:space="preserve"> </v>
      </c>
      <c r="U24" s="110" t="str">
        <f>IF($C24=0," ",IF(I24=0," ",IF('Valeurs Règlement Campagne'!$L$14="OUI",AND(I24&gt;=O24-2,I24&lt;=Q24+2),OR(I24=O24,I24=O24+5,I24=Q24))))</f>
        <v xml:space="preserve"> </v>
      </c>
      <c r="V24" s="281" t="str">
        <f t="shared" si="6"/>
        <v xml:space="preserve"> </v>
      </c>
      <c r="W24" s="282"/>
      <c r="X24" s="282" t="str">
        <f t="shared" si="7"/>
        <v xml:space="preserve"> </v>
      </c>
      <c r="Y24" s="282"/>
      <c r="Z24" s="282" t="str">
        <f t="shared" si="8"/>
        <v xml:space="preserve"> </v>
      </c>
      <c r="AA24" s="283"/>
      <c r="AB24" s="114" t="str">
        <f t="shared" si="5"/>
        <v/>
      </c>
      <c r="AC24" s="100" t="str">
        <f>IF(
  E24="Connues",
  IF(
    ABS(F24 - VLOOKUP(C24,'Valeurs Règlement Campagne'!$A$4:$T$7,12,FALSE))&lt;=2,
    VLOOKUP(C24,'Valeurs Règlement Campagne'!$A$4:$T$7,12,FALSE),
    IF(
      ABS(F24 - VLOOKUP(C24,'Valeurs Règlement Campagne'!$A$4:$T$7,13,FALSE))&lt;=2,
      VLOOKUP(C24,'Valeurs Règlement Campagne'!$A$4:$T$7,13,FALSE),
      IF(
        ABS(F24 - VLOOKUP(C24,'Valeurs Règlement Campagne'!$A$4:$T$7,14,FALSE))&lt;=2,
        VLOOKUP(C24,'Valeurs Règlement Campagne'!$A$4:$T$7,14,FALSE),
        ""
      )
    )
  ),
  ""
)</f>
        <v/>
      </c>
      <c r="AD24" s="100" t="str">
        <f>IF(
  E24="Connues",
  IF(
    ABS(G24 - VLOOKUP(C24,'Valeurs Règlement Campagne'!$A$4:$T$7,15,FALSE))&lt;=2,
    VLOOKUP(C24,'Valeurs Règlement Campagne'!$A$4:$T$7,15,FALSE),
    IF(
      ABS(G24 - VLOOKUP(C24,'Valeurs Règlement Campagne'!$A$4:$T$7,16,FALSE))&lt;=2,
      VLOOKUP(C24,'Valeurs Règlement Campagne'!$A$4:$T$7,16,FALSE),
      IF(
        ABS(G24 - VLOOKUP(C24,'Valeurs Règlement Campagne'!$A$4:$T$7,17,FALSE))&lt;=2,
        VLOOKUP(C24,'Valeurs Règlement Campagne'!$A$4:$T$7,17,FALSE),
        ""
      )
    )
  ),
  ""
)</f>
        <v/>
      </c>
      <c r="AE24" s="100" t="str">
        <f>IF(
  E24="Connues",
  IF(
    ABS(H24 - VLOOKUP(C24,'Valeurs Règlement Campagne'!$A$4:$T$7,15,FALSE))&lt;=2,
    VLOOKUP(C24,'Valeurs Règlement Campagne'!$A$4:$T$7,15,FALSE),
    IF(
      ABS(H24 - VLOOKUP(C24,'Valeurs Règlement Campagne'!$A$4:$T$7,16,FALSE))&lt;=2,
      VLOOKUP(C24,'Valeurs Règlement Campagne'!$A$4:$T$7,16,FALSE),
      IF(
        ABS(H24 - VLOOKUP(C24,'Valeurs Règlement Campagne'!$A$4:$T$7,17,FALSE))&lt;=2,
        VLOOKUP(C24,'Valeurs Règlement Campagne'!$A$4:$T$7,17,FALSE),
        ""
      )
    )
  ),
  ""
)</f>
        <v/>
      </c>
    </row>
    <row r="25" spans="1:212" ht="20.75" customHeight="1" thickBot="1">
      <c r="A25" s="213">
        <v>20</v>
      </c>
      <c r="B25" s="310"/>
      <c r="C25" s="279"/>
      <c r="D25" s="280"/>
      <c r="E25" s="61"/>
      <c r="F25" s="167"/>
      <c r="G25" s="168"/>
      <c r="H25" s="169"/>
      <c r="I25" s="175"/>
      <c r="J25" s="101"/>
      <c r="K25" s="102" t="str">
        <f>IF($E25=0," ",IF($E25=$D$31,VLOOKUP($C25,'Valeurs Règlement Campagne'!$A$4:$T$7,12,FALSE),VLOOKUP($C25,'Valeurs Règlement Campagne'!$A$4:$I$7,4,FALSE)))</f>
        <v xml:space="preserve"> </v>
      </c>
      <c r="L25" s="103" t="str">
        <f>IF($E25=0," ",IF($E25=$D$31,VLOOKUP($C25,'Valeurs Règlement Campagne'!$A$4:$T$7,14,FALSE),VLOOKUP($C25,'Valeurs Règlement Campagne'!$A$4:$L$7,5,FALSE)))</f>
        <v xml:space="preserve"> </v>
      </c>
      <c r="M25" s="102" t="str">
        <f>IF($E25=0," ",IF($E25=$D$31,VLOOKUP($C25,'Valeurs Règlement Campagne'!$A$4:$T$7,15,FALSE),VLOOKUP($C25,'Valeurs Règlement Campagne'!$A$4:$M$7,6,FALSE)))</f>
        <v xml:space="preserve"> </v>
      </c>
      <c r="N25" s="104" t="str">
        <f>IF($E25=0," ",IF($E25=$D$31,VLOOKUP($C25,'Valeurs Règlement Campagne'!$A$4:$T$7,17,FALSE),VLOOKUP($C25,'Valeurs Règlement Campagne'!$A$4:$N$7,7,FALSE)))</f>
        <v xml:space="preserve"> </v>
      </c>
      <c r="O25" s="105" t="str">
        <f>IF($E25=0," ",IF($E25=$D$31,VLOOKUP($C25,'Valeurs Règlement Campagne'!$A$4:$T$7,18,FALSE),VLOOKUP($C25,'Valeurs Règlement Campagne'!$A$4:$O$7,8,FALSE)))</f>
        <v xml:space="preserve"> </v>
      </c>
      <c r="P25" s="104" t="str">
        <f>IF($E25=0," ",IF($E25=$D$31,VLOOKUP($C25,'Valeurs Règlement Campagne'!$A$4:$T$7,20,FALSE),VLOOKUP($C25,'Valeurs Règlement Campagne'!$A$4:$P$7,9,FALSE)))</f>
        <v xml:space="preserve"> </v>
      </c>
      <c r="Q25" s="111" t="str">
        <f t="shared" si="0"/>
        <v xml:space="preserve"> </v>
      </c>
      <c r="R25" s="112" t="str" cm="1">
        <f t="array" ref="R25">IF(C25=0," ",IF(AND(E25="Connues",AC25&lt;&gt;"",COUNTIFS(AC$6:AC$29,AC25,C$6:C$29,C25)&gt;1),"Doublon",IF(AND(E25="Connues",SUMPRODUCT((E$6:E$29="Connues")*(C$6:C$29=C25)*(ROW($6:$29)&lt;&gt;ROW())*(ABS(F$6:F$29-F25)&lt;=2)*((ABS(F$6:F$29-VLOOKUP(C25,'Valeurs Règlement Campagne'!$A$4:$T$7,12,FALSE))&lt;=2)+(ABS(F$6:F$29-VLOOKUP(C25,'Valeurs Règlement Campagne'!$A$4:$T$7,13,FALSE))&lt;=2)+(ABS(F$6:F$29-VLOOKUP(C25,'Valeurs Règlement Campagne'!$A$4:$T$7,14,FALSE))&lt;=2)))&gt;0),"Doublon",IF($C25=0," ",IF(F25=0," ",IF(E25="Inconnues",AND(F25&gt;=K25,F25&lt;=L25),IF(AND('Valeurs Règlement Campagne'!$L$14="OUI",E25="Connues"),AND(F25&gt;=K25-2,F25&lt;=L25+2),OR(F25=K25,F25=K25+5,F25=L25))))))))</f>
        <v xml:space="preserve"> </v>
      </c>
      <c r="S25" s="113" t="str" cm="1">
        <f t="array" ref="S25">IF(C25=0," ",IF(AND(E25="Connues",AD25&lt;&gt;"",COUNTIFS(AD$6:AD$29,AD25,C$6:C$29,C25)&gt;1),"Doublon",IF(AND(E25="Connues",SUMPRODUCT((E$6:E$29="Connues")*(C$6:C$29=C25)*(ROW($6:$29)&lt;&gt;ROW())*(ABS(G$6:G$29-G25)&lt;=2)*((ABS(G$6:G$29-VLOOKUP(C25,'Valeurs Règlement Campagne'!$A$4:$T$7,15,FALSE))&lt;=2)+(ABS(G$6:G$29-VLOOKUP(C25,'Valeurs Règlement Campagne'!$A$4:$T$7,16,FALSE))&lt;=2)+(ABS(G$6:G$29-VLOOKUP(C25,'Valeurs Règlement Campagne'!$A$4:$T$7,17,FALSE))&lt;=2)))&gt;0),"Doublon",IF($C25=0," ",IF(G25=0," ",IF(E25="Inconnues",AND(G25&gt;=M25,G25&lt;=N25),IF(AND('Valeurs Règlement Campagne'!$L$14="OUI",E25="Connues"),AND(G25&gt;=M25-2,G25&lt;=N25+2),OR(G25=M25,G25=M25+5,G25=N25))))))))</f>
        <v xml:space="preserve"> </v>
      </c>
      <c r="T25" s="113" t="str" cm="1">
        <f t="array" ref="T25">IF(C25=0," ",IF(AND(E25="Connues",AE25&lt;&gt;"",COUNTIFS(AE$6:AE$29,AE25,C$6:C$29,C25)&gt;1),"Doublon",IF(AND(E25="Connues",SUMPRODUCT((E$6:E$29="Connues")*(C$6:C$29=C25)*(ROW($6:$29)&lt;&gt;ROW())*(ABS(H$6:H$29-H25)&lt;=2)*((ABS(H$6:H$29-VLOOKUP(C25,'Valeurs Règlement Campagne'!$A$4:$T$7,18,FALSE))&lt;=2)+(ABS(H$7:H$30-VLOOKUP(C25,'Valeurs Règlement Campagne'!$A$4:$T$7,19,FALSE))&lt;=2)+(ABS(H$6:H$29-VLOOKUP(C25,'Valeurs Règlement Campagne'!$A$4:$T$7,20,FALSE))&lt;=2)))&gt;0),"Doublon",IF($C25=0," ",IF(H25=0," ",IF(E25="Inconnues",AND(H25&gt;=O25,H25&lt;=P25),IF(AND('Valeurs Règlement Campagne'!$L$14="OUI",E25="Connues"),AND(H25&gt;=O25-2,H25&lt;=P25+2),OR(H25=O25,H25=O25+5,H25=P25))))))))</f>
        <v xml:space="preserve"> </v>
      </c>
      <c r="U25" s="110" t="str">
        <f>IF($C25=0," ",IF(I25=0," ",IF('Valeurs Règlement Campagne'!$L$14="OUI",AND(I25&gt;=O25-2,I25&lt;=Q25+2),OR(I25=O25,I25=O25+5,I25=Q25))))</f>
        <v xml:space="preserve"> </v>
      </c>
      <c r="V25" s="281" t="str">
        <f t="shared" si="6"/>
        <v xml:space="preserve"> </v>
      </c>
      <c r="W25" s="282"/>
      <c r="X25" s="282" t="str">
        <f t="shared" si="7"/>
        <v xml:space="preserve"> </v>
      </c>
      <c r="Y25" s="282"/>
      <c r="Z25" s="282" t="str">
        <f t="shared" si="8"/>
        <v xml:space="preserve"> </v>
      </c>
      <c r="AA25" s="283"/>
      <c r="AB25" s="114" t="str">
        <f t="shared" si="5"/>
        <v/>
      </c>
      <c r="AC25" s="100" t="str">
        <f>IF(
  E25="Connues",
  IF(
    ABS(F25 - VLOOKUP(C25,'Valeurs Règlement Campagne'!$A$4:$T$7,12,FALSE))&lt;=2,
    VLOOKUP(C25,'Valeurs Règlement Campagne'!$A$4:$T$7,12,FALSE),
    IF(
      ABS(F25 - VLOOKUP(C25,'Valeurs Règlement Campagne'!$A$4:$T$7,13,FALSE))&lt;=2,
      VLOOKUP(C25,'Valeurs Règlement Campagne'!$A$4:$T$7,13,FALSE),
      IF(
        ABS(F25 - VLOOKUP(C25,'Valeurs Règlement Campagne'!$A$4:$T$7,14,FALSE))&lt;=2,
        VLOOKUP(C25,'Valeurs Règlement Campagne'!$A$4:$T$7,14,FALSE),
        ""
      )
    )
  ),
  ""
)</f>
        <v/>
      </c>
      <c r="AD25" s="100" t="str">
        <f>IF(
  E25="Connues",
  IF(
    ABS(G25 - VLOOKUP(C25,'Valeurs Règlement Campagne'!$A$4:$T$7,15,FALSE))&lt;=2,
    VLOOKUP(C25,'Valeurs Règlement Campagne'!$A$4:$T$7,15,FALSE),
    IF(
      ABS(G25 - VLOOKUP(C25,'Valeurs Règlement Campagne'!$A$4:$T$7,16,FALSE))&lt;=2,
      VLOOKUP(C25,'Valeurs Règlement Campagne'!$A$4:$T$7,16,FALSE),
      IF(
        ABS(G25 - VLOOKUP(C25,'Valeurs Règlement Campagne'!$A$4:$T$7,17,FALSE))&lt;=2,
        VLOOKUP(C25,'Valeurs Règlement Campagne'!$A$4:$T$7,17,FALSE),
        ""
      )
    )
  ),
  ""
)</f>
        <v/>
      </c>
      <c r="AE25" s="100" t="str">
        <f>IF(
  E25="Connues",
  IF(
    ABS(H25 - VLOOKUP(C25,'Valeurs Règlement Campagne'!$A$4:$T$7,15,FALSE))&lt;=2,
    VLOOKUP(C25,'Valeurs Règlement Campagne'!$A$4:$T$7,15,FALSE),
    IF(
      ABS(H25 - VLOOKUP(C25,'Valeurs Règlement Campagne'!$A$4:$T$7,16,FALSE))&lt;=2,
      VLOOKUP(C25,'Valeurs Règlement Campagne'!$A$4:$T$7,16,FALSE),
      IF(
        ABS(H25 - VLOOKUP(C25,'Valeurs Règlement Campagne'!$A$4:$T$7,17,FALSE))&lt;=2,
        VLOOKUP(C25,'Valeurs Règlement Campagne'!$A$4:$T$7,17,FALSE),
        ""
      )
    )
  ),
  ""
)</f>
        <v/>
      </c>
    </row>
    <row r="26" spans="1:212" ht="20.75" customHeight="1" thickBot="1">
      <c r="A26" s="213">
        <v>21</v>
      </c>
      <c r="B26" s="310"/>
      <c r="C26" s="279"/>
      <c r="D26" s="280"/>
      <c r="E26" s="61"/>
      <c r="F26" s="167"/>
      <c r="G26" s="168"/>
      <c r="H26" s="169"/>
      <c r="I26" s="175"/>
      <c r="J26" s="101"/>
      <c r="K26" s="102" t="str">
        <f>IF($E26=0," ",IF($E26=$D$31,VLOOKUP($C26,'Valeurs Règlement Campagne'!$A$4:$T$7,12,FALSE),VLOOKUP($C26,'Valeurs Règlement Campagne'!$A$4:$I$7,4,FALSE)))</f>
        <v xml:space="preserve"> </v>
      </c>
      <c r="L26" s="103" t="str">
        <f>IF($E26=0," ",IF($E26=$D$31,VLOOKUP($C26,'Valeurs Règlement Campagne'!$A$4:$T$7,14,FALSE),VLOOKUP($C26,'Valeurs Règlement Campagne'!$A$4:$L$7,5,FALSE)))</f>
        <v xml:space="preserve"> </v>
      </c>
      <c r="M26" s="102" t="str">
        <f>IF($E26=0," ",IF($E26=$D$31,VLOOKUP($C26,'Valeurs Règlement Campagne'!$A$4:$T$7,15,FALSE),VLOOKUP($C26,'Valeurs Règlement Campagne'!$A$4:$M$7,6,FALSE)))</f>
        <v xml:space="preserve"> </v>
      </c>
      <c r="N26" s="104" t="str">
        <f>IF($E26=0," ",IF($E26=$D$31,VLOOKUP($C26,'Valeurs Règlement Campagne'!$A$4:$T$7,17,FALSE),VLOOKUP($C26,'Valeurs Règlement Campagne'!$A$4:$N$7,7,FALSE)))</f>
        <v xml:space="preserve"> </v>
      </c>
      <c r="O26" s="105" t="str">
        <f>IF($E26=0," ",IF($E26=$D$31,VLOOKUP($C26,'Valeurs Règlement Campagne'!$A$4:$T$7,18,FALSE),VLOOKUP($C26,'Valeurs Règlement Campagne'!$A$4:$O$7,8,FALSE)))</f>
        <v xml:space="preserve"> </v>
      </c>
      <c r="P26" s="104" t="str">
        <f>IF($E26=0," ",IF($E26=$D$31,VLOOKUP($C26,'Valeurs Règlement Campagne'!$A$4:$T$7,20,FALSE),VLOOKUP($C26,'Valeurs Règlement Campagne'!$A$4:$P$7,9,FALSE)))</f>
        <v xml:space="preserve"> </v>
      </c>
      <c r="Q26" s="111" t="str">
        <f t="shared" si="0"/>
        <v xml:space="preserve"> </v>
      </c>
      <c r="R26" s="112" t="str" cm="1">
        <f t="array" ref="R26">IF(C26=0," ",IF(AND(E26="Connues",AC26&lt;&gt;"",COUNTIFS(AC$6:AC$29,AC26,C$6:C$29,C26)&gt;1),"Doublon",IF(AND(E26="Connues",SUMPRODUCT((E$6:E$29="Connues")*(C$6:C$29=C26)*(ROW($6:$29)&lt;&gt;ROW())*(ABS(F$6:F$29-F26)&lt;=2)*((ABS(F$6:F$29-VLOOKUP(C26,'Valeurs Règlement Campagne'!$A$4:$T$7,12,FALSE))&lt;=2)+(ABS(F$6:F$29-VLOOKUP(C26,'Valeurs Règlement Campagne'!$A$4:$T$7,13,FALSE))&lt;=2)+(ABS(F$6:F$29-VLOOKUP(C26,'Valeurs Règlement Campagne'!$A$4:$T$7,14,FALSE))&lt;=2)))&gt;0),"Doublon",IF($C26=0," ",IF(F26=0," ",IF(E26="Inconnues",AND(F26&gt;=K26,F26&lt;=L26),IF(AND('Valeurs Règlement Campagne'!$L$14="OUI",E26="Connues"),AND(F26&gt;=K26-2,F26&lt;=L26+2),OR(F26=K26,F26=K26+5,F26=L26))))))))</f>
        <v xml:space="preserve"> </v>
      </c>
      <c r="S26" s="113" t="str" cm="1">
        <f t="array" ref="S26">IF(C26=0," ",IF(AND(E26="Connues",AD26&lt;&gt;"",COUNTIFS(AD$6:AD$29,AD26,C$6:C$29,C26)&gt;1),"Doublon",IF(AND(E26="Connues",SUMPRODUCT((E$6:E$29="Connues")*(C$6:C$29=C26)*(ROW($6:$29)&lt;&gt;ROW())*(ABS(G$6:G$29-G26)&lt;=2)*((ABS(G$6:G$29-VLOOKUP(C26,'Valeurs Règlement Campagne'!$A$4:$T$7,15,FALSE))&lt;=2)+(ABS(G$6:G$29-VLOOKUP(C26,'Valeurs Règlement Campagne'!$A$4:$T$7,16,FALSE))&lt;=2)+(ABS(G$6:G$29-VLOOKUP(C26,'Valeurs Règlement Campagne'!$A$4:$T$7,17,FALSE))&lt;=2)))&gt;0),"Doublon",IF($C26=0," ",IF(G26=0," ",IF(E26="Inconnues",AND(G26&gt;=M26,G26&lt;=N26),IF(AND('Valeurs Règlement Campagne'!$L$14="OUI",E26="Connues"),AND(G26&gt;=M26-2,G26&lt;=N26+2),OR(G26=M26,G26=M26+5,G26=N26))))))))</f>
        <v xml:space="preserve"> </v>
      </c>
      <c r="T26" s="113" t="str" cm="1">
        <f t="array" ref="T26">IF(C26=0," ",IF(AND(E26="Connues",AE26&lt;&gt;"",COUNTIFS(AE$6:AE$29,AE26,C$6:C$29,C26)&gt;1),"Doublon",IF(AND(E26="Connues",SUMPRODUCT((E$6:E$29="Connues")*(C$6:C$29=C26)*(ROW($6:$29)&lt;&gt;ROW())*(ABS(H$6:H$29-H26)&lt;=2)*((ABS(H$6:H$29-VLOOKUP(C26,'Valeurs Règlement Campagne'!$A$4:$T$7,18,FALSE))&lt;=2)+(ABS(H$7:H$30-VLOOKUP(C26,'Valeurs Règlement Campagne'!$A$4:$T$7,19,FALSE))&lt;=2)+(ABS(H$6:H$29-VLOOKUP(C26,'Valeurs Règlement Campagne'!$A$4:$T$7,20,FALSE))&lt;=2)))&gt;0),"Doublon",IF($C26=0," ",IF(H26=0," ",IF(E26="Inconnues",AND(H26&gt;=O26,H26&lt;=P26),IF(AND('Valeurs Règlement Campagne'!$L$14="OUI",E26="Connues"),AND(H26&gt;=O26-2,H26&lt;=P26+2),OR(H26=O26,H26=O26+5,H26=P26))))))))</f>
        <v xml:space="preserve"> </v>
      </c>
      <c r="U26" s="110" t="str">
        <f>IF($C26=0," ",IF(I26=0," ",IF('Valeurs Règlement Campagne'!$L$14="OUI",AND(I26&gt;=O26-2,I26&lt;=Q26+2),OR(I26=O26,I26=O26+5,I26=Q26))))</f>
        <v xml:space="preserve"> </v>
      </c>
      <c r="V26" s="281" t="str">
        <f t="shared" si="6"/>
        <v xml:space="preserve"> </v>
      </c>
      <c r="W26" s="282"/>
      <c r="X26" s="282" t="str">
        <f t="shared" si="7"/>
        <v xml:space="preserve"> </v>
      </c>
      <c r="Y26" s="282"/>
      <c r="Z26" s="282" t="str">
        <f t="shared" si="8"/>
        <v xml:space="preserve"> </v>
      </c>
      <c r="AA26" s="283"/>
      <c r="AB26" s="114" t="str">
        <f t="shared" si="5"/>
        <v/>
      </c>
      <c r="AC26" s="100" t="str">
        <f>IF(
  E26="Connues",
  IF(
    ABS(F26 - VLOOKUP(C26,'Valeurs Règlement Campagne'!$A$4:$T$7,12,FALSE))&lt;=2,
    VLOOKUP(C26,'Valeurs Règlement Campagne'!$A$4:$T$7,12,FALSE),
    IF(
      ABS(F26 - VLOOKUP(C26,'Valeurs Règlement Campagne'!$A$4:$T$7,13,FALSE))&lt;=2,
      VLOOKUP(C26,'Valeurs Règlement Campagne'!$A$4:$T$7,13,FALSE),
      IF(
        ABS(F26 - VLOOKUP(C26,'Valeurs Règlement Campagne'!$A$4:$T$7,14,FALSE))&lt;=2,
        VLOOKUP(C26,'Valeurs Règlement Campagne'!$A$4:$T$7,14,FALSE),
        ""
      )
    )
  ),
  ""
)</f>
        <v/>
      </c>
      <c r="AD26" s="100" t="str">
        <f>IF(
  E26="Connues",
  IF(
    ABS(G26 - VLOOKUP(C26,'Valeurs Règlement Campagne'!$A$4:$T$7,15,FALSE))&lt;=2,
    VLOOKUP(C26,'Valeurs Règlement Campagne'!$A$4:$T$7,15,FALSE),
    IF(
      ABS(G26 - VLOOKUP(C26,'Valeurs Règlement Campagne'!$A$4:$T$7,16,FALSE))&lt;=2,
      VLOOKUP(C26,'Valeurs Règlement Campagne'!$A$4:$T$7,16,FALSE),
      IF(
        ABS(G26 - VLOOKUP(C26,'Valeurs Règlement Campagne'!$A$4:$T$7,17,FALSE))&lt;=2,
        VLOOKUP(C26,'Valeurs Règlement Campagne'!$A$4:$T$7,17,FALSE),
        ""
      )
    )
  ),
  ""
)</f>
        <v/>
      </c>
      <c r="AE26" s="100" t="str">
        <f>IF(
  E26="Connues",
  IF(
    ABS(H26 - VLOOKUP(C26,'Valeurs Règlement Campagne'!$A$4:$T$7,15,FALSE))&lt;=2,
    VLOOKUP(C26,'Valeurs Règlement Campagne'!$A$4:$T$7,15,FALSE),
    IF(
      ABS(H26 - VLOOKUP(C26,'Valeurs Règlement Campagne'!$A$4:$T$7,16,FALSE))&lt;=2,
      VLOOKUP(C26,'Valeurs Règlement Campagne'!$A$4:$T$7,16,FALSE),
      IF(
        ABS(H26 - VLOOKUP(C26,'Valeurs Règlement Campagne'!$A$4:$T$7,17,FALSE))&lt;=2,
        VLOOKUP(C26,'Valeurs Règlement Campagne'!$A$4:$T$7,17,FALSE),
        ""
      )
    )
  ),
  ""
)</f>
        <v/>
      </c>
    </row>
    <row r="27" spans="1:212" ht="20.75" customHeight="1" thickBot="1">
      <c r="A27" s="213">
        <v>22</v>
      </c>
      <c r="B27" s="310"/>
      <c r="C27" s="279"/>
      <c r="D27" s="280"/>
      <c r="E27" s="61"/>
      <c r="F27" s="167"/>
      <c r="G27" s="168"/>
      <c r="H27" s="169"/>
      <c r="I27" s="175"/>
      <c r="J27" s="101"/>
      <c r="K27" s="102" t="str">
        <f>IF($E27=0," ",IF($E27=$D$31,VLOOKUP($C27,'Valeurs Règlement Campagne'!$A$4:$T$7,12,FALSE),VLOOKUP($C27,'Valeurs Règlement Campagne'!$A$4:$I$7,4,FALSE)))</f>
        <v xml:space="preserve"> </v>
      </c>
      <c r="L27" s="103" t="str">
        <f>IF($E27=0," ",IF($E27=$D$31,VLOOKUP($C27,'Valeurs Règlement Campagne'!$A$4:$T$7,14,FALSE),VLOOKUP($C27,'Valeurs Règlement Campagne'!$A$4:$L$7,5,FALSE)))</f>
        <v xml:space="preserve"> </v>
      </c>
      <c r="M27" s="102" t="str">
        <f>IF($E27=0," ",IF($E27=$D$31,VLOOKUP($C27,'Valeurs Règlement Campagne'!$A$4:$T$7,15,FALSE),VLOOKUP($C27,'Valeurs Règlement Campagne'!$A$4:$M$7,6,FALSE)))</f>
        <v xml:space="preserve"> </v>
      </c>
      <c r="N27" s="104" t="str">
        <f>IF($E27=0," ",IF($E27=$D$31,VLOOKUP($C27,'Valeurs Règlement Campagne'!$A$4:$T$7,17,FALSE),VLOOKUP($C27,'Valeurs Règlement Campagne'!$A$4:$N$7,7,FALSE)))</f>
        <v xml:space="preserve"> </v>
      </c>
      <c r="O27" s="105" t="str">
        <f>IF($E27=0," ",IF($E27=$D$31,VLOOKUP($C27,'Valeurs Règlement Campagne'!$A$4:$T$7,18,FALSE),VLOOKUP($C27,'Valeurs Règlement Campagne'!$A$4:$O$7,8,FALSE)))</f>
        <v xml:space="preserve"> </v>
      </c>
      <c r="P27" s="104" t="str">
        <f>IF($E27=0," ",IF($E27=$D$31,VLOOKUP($C27,'Valeurs Règlement Campagne'!$A$4:$T$7,20,FALSE),VLOOKUP($C27,'Valeurs Règlement Campagne'!$A$4:$P$7,9,FALSE)))</f>
        <v xml:space="preserve"> </v>
      </c>
      <c r="Q27" s="111" t="str">
        <f t="shared" si="0"/>
        <v xml:space="preserve"> </v>
      </c>
      <c r="R27" s="112" t="str" cm="1">
        <f t="array" ref="R27">IF(C27=0," ",IF(AND(E27="Connues",AC27&lt;&gt;"",COUNTIFS(AC$6:AC$29,AC27,C$6:C$29,C27)&gt;1),"Doublon",IF(AND(E27="Connues",SUMPRODUCT((E$6:E$29="Connues")*(C$6:C$29=C27)*(ROW($6:$29)&lt;&gt;ROW())*(ABS(F$6:F$29-F27)&lt;=2)*((ABS(F$6:F$29-VLOOKUP(C27,'Valeurs Règlement Campagne'!$A$4:$T$7,12,FALSE))&lt;=2)+(ABS(F$6:F$29-VLOOKUP(C27,'Valeurs Règlement Campagne'!$A$4:$T$7,13,FALSE))&lt;=2)+(ABS(F$6:F$29-VLOOKUP(C27,'Valeurs Règlement Campagne'!$A$4:$T$7,14,FALSE))&lt;=2)))&gt;0),"Doublon",IF($C27=0," ",IF(F27=0," ",IF(E27="Inconnues",AND(F27&gt;=K27,F27&lt;=L27),IF(AND('Valeurs Règlement Campagne'!$L$14="OUI",E27="Connues"),AND(F27&gt;=K27-2,F27&lt;=L27+2),OR(F27=K27,F27=K27+5,F27=L27))))))))</f>
        <v xml:space="preserve"> </v>
      </c>
      <c r="S27" s="113" t="str" cm="1">
        <f t="array" ref="S27">IF(C27=0," ",IF(AND(E27="Connues",AD27&lt;&gt;"",COUNTIFS(AD$6:AD$29,AD27,C$6:C$29,C27)&gt;1),"Doublon",IF(AND(E27="Connues",SUMPRODUCT((E$6:E$29="Connues")*(C$6:C$29=C27)*(ROW($6:$29)&lt;&gt;ROW())*(ABS(G$6:G$29-G27)&lt;=2)*((ABS(G$6:G$29-VLOOKUP(C27,'Valeurs Règlement Campagne'!$A$4:$T$7,15,FALSE))&lt;=2)+(ABS(G$6:G$29-VLOOKUP(C27,'Valeurs Règlement Campagne'!$A$4:$T$7,16,FALSE))&lt;=2)+(ABS(G$6:G$29-VLOOKUP(C27,'Valeurs Règlement Campagne'!$A$4:$T$7,17,FALSE))&lt;=2)))&gt;0),"Doublon",IF($C27=0," ",IF(G27=0," ",IF(E27="Inconnues",AND(G27&gt;=M27,G27&lt;=N27),IF(AND('Valeurs Règlement Campagne'!$L$14="OUI",E27="Connues"),AND(G27&gt;=M27-2,G27&lt;=N27+2),OR(G27=M27,G27=M27+5,G27=N27))))))))</f>
        <v xml:space="preserve"> </v>
      </c>
      <c r="T27" s="113" t="str" cm="1">
        <f t="array" ref="T27">IF(C27=0," ",IF(AND(E27="Connues",AE27&lt;&gt;"",COUNTIFS(AE$6:AE$29,AE27,C$6:C$29,C27)&gt;1),"Doublon",IF(AND(E27="Connues",SUMPRODUCT((E$6:E$29="Connues")*(C$6:C$29=C27)*(ROW($6:$29)&lt;&gt;ROW())*(ABS(H$6:H$29-H27)&lt;=2)*((ABS(H$6:H$29-VLOOKUP(C27,'Valeurs Règlement Campagne'!$A$4:$T$7,18,FALSE))&lt;=2)+(ABS(H$7:H$30-VLOOKUP(C27,'Valeurs Règlement Campagne'!$A$4:$T$7,19,FALSE))&lt;=2)+(ABS(H$6:H$29-VLOOKUP(C27,'Valeurs Règlement Campagne'!$A$4:$T$7,20,FALSE))&lt;=2)))&gt;0),"Doublon",IF($C27=0," ",IF(H27=0," ",IF(E27="Inconnues",AND(H27&gt;=O27,H27&lt;=P27),IF(AND('Valeurs Règlement Campagne'!$L$14="OUI",E27="Connues"),AND(H27&gt;=O27-2,H27&lt;=P27+2),OR(H27=O27,H27=O27+5,H27=P27))))))))</f>
        <v xml:space="preserve"> </v>
      </c>
      <c r="U27" s="110" t="str">
        <f>IF($C27=0," ",IF(I27=0," ",IF('Valeurs Règlement Campagne'!$L$14="OUI",AND(I27&gt;=O27-2,I27&lt;=Q27+2),OR(I27=O27,I27=O27+5,I27=Q27))))</f>
        <v xml:space="preserve"> </v>
      </c>
      <c r="V27" s="281" t="str">
        <f t="shared" si="6"/>
        <v xml:space="preserve"> </v>
      </c>
      <c r="W27" s="282"/>
      <c r="X27" s="282" t="str">
        <f t="shared" si="7"/>
        <v xml:space="preserve"> </v>
      </c>
      <c r="Y27" s="282"/>
      <c r="Z27" s="282" t="str">
        <f t="shared" si="8"/>
        <v xml:space="preserve"> </v>
      </c>
      <c r="AA27" s="283"/>
      <c r="AB27" s="114" t="str">
        <f t="shared" si="5"/>
        <v/>
      </c>
      <c r="AC27" s="100" t="str">
        <f>IF(
  E27="Connues",
  IF(
    ABS(F27 - VLOOKUP(C27,'Valeurs Règlement Campagne'!$A$4:$T$7,12,FALSE))&lt;=2,
    VLOOKUP(C27,'Valeurs Règlement Campagne'!$A$4:$T$7,12,FALSE),
    IF(
      ABS(F27 - VLOOKUP(C27,'Valeurs Règlement Campagne'!$A$4:$T$7,13,FALSE))&lt;=2,
      VLOOKUP(C27,'Valeurs Règlement Campagne'!$A$4:$T$7,13,FALSE),
      IF(
        ABS(F27 - VLOOKUP(C27,'Valeurs Règlement Campagne'!$A$4:$T$7,14,FALSE))&lt;=2,
        VLOOKUP(C27,'Valeurs Règlement Campagne'!$A$4:$T$7,14,FALSE),
        ""
      )
    )
  ),
  ""
)</f>
        <v/>
      </c>
      <c r="AD27" s="100" t="str">
        <f>IF(
  E27="Connues",
  IF(
    ABS(G27 - VLOOKUP(C27,'Valeurs Règlement Campagne'!$A$4:$T$7,15,FALSE))&lt;=2,
    VLOOKUP(C27,'Valeurs Règlement Campagne'!$A$4:$T$7,15,FALSE),
    IF(
      ABS(G27 - VLOOKUP(C27,'Valeurs Règlement Campagne'!$A$4:$T$7,16,FALSE))&lt;=2,
      VLOOKUP(C27,'Valeurs Règlement Campagne'!$A$4:$T$7,16,FALSE),
      IF(
        ABS(G27 - VLOOKUP(C27,'Valeurs Règlement Campagne'!$A$4:$T$7,17,FALSE))&lt;=2,
        VLOOKUP(C27,'Valeurs Règlement Campagne'!$A$4:$T$7,17,FALSE),
        ""
      )
    )
  ),
  ""
)</f>
        <v/>
      </c>
      <c r="AE27" s="100" t="str">
        <f>IF(
  E27="Connues",
  IF(
    ABS(H27 - VLOOKUP(C27,'Valeurs Règlement Campagne'!$A$4:$T$7,15,FALSE))&lt;=2,
    VLOOKUP(C27,'Valeurs Règlement Campagne'!$A$4:$T$7,15,FALSE),
    IF(
      ABS(H27 - VLOOKUP(C27,'Valeurs Règlement Campagne'!$A$4:$T$7,16,FALSE))&lt;=2,
      VLOOKUP(C27,'Valeurs Règlement Campagne'!$A$4:$T$7,16,FALSE),
      IF(
        ABS(H27 - VLOOKUP(C27,'Valeurs Règlement Campagne'!$A$4:$T$7,17,FALSE))&lt;=2,
        VLOOKUP(C27,'Valeurs Règlement Campagne'!$A$4:$T$7,17,FALSE),
        ""
      )
    )
  ),
  ""
)</f>
        <v/>
      </c>
    </row>
    <row r="28" spans="1:212" ht="20.75" customHeight="1" thickBot="1">
      <c r="A28" s="213">
        <v>23</v>
      </c>
      <c r="B28" s="310"/>
      <c r="C28" s="279"/>
      <c r="D28" s="280"/>
      <c r="E28" s="61"/>
      <c r="F28" s="167"/>
      <c r="G28" s="168"/>
      <c r="H28" s="169"/>
      <c r="I28" s="175"/>
      <c r="J28" s="101"/>
      <c r="K28" s="102" t="str">
        <f>IF($E28=0," ",IF($E28=$D$31,VLOOKUP($C28,'Valeurs Règlement Campagne'!$A$4:$T$7,12,FALSE),VLOOKUP($C28,'Valeurs Règlement Campagne'!$A$4:$I$7,4,FALSE)))</f>
        <v xml:space="preserve"> </v>
      </c>
      <c r="L28" s="103" t="str">
        <f>IF($E28=0," ",IF($E28=$D$31,VLOOKUP($C28,'Valeurs Règlement Campagne'!$A$4:$T$7,14,FALSE),VLOOKUP($C28,'Valeurs Règlement Campagne'!$A$4:$L$7,5,FALSE)))</f>
        <v xml:space="preserve"> </v>
      </c>
      <c r="M28" s="102" t="str">
        <f>IF($E28=0," ",IF($E28=$D$31,VLOOKUP($C28,'Valeurs Règlement Campagne'!$A$4:$T$7,15,FALSE),VLOOKUP($C28,'Valeurs Règlement Campagne'!$A$4:$M$7,6,FALSE)))</f>
        <v xml:space="preserve"> </v>
      </c>
      <c r="N28" s="104" t="str">
        <f>IF($E28=0," ",IF($E28=$D$31,VLOOKUP($C28,'Valeurs Règlement Campagne'!$A$4:$T$7,17,FALSE),VLOOKUP($C28,'Valeurs Règlement Campagne'!$A$4:$N$7,7,FALSE)))</f>
        <v xml:space="preserve"> </v>
      </c>
      <c r="O28" s="105" t="str">
        <f>IF($E28=0," ",IF($E28=$D$31,VLOOKUP($C28,'Valeurs Règlement Campagne'!$A$4:$T$7,18,FALSE),VLOOKUP($C28,'Valeurs Règlement Campagne'!$A$4:$O$7,8,FALSE)))</f>
        <v xml:space="preserve"> </v>
      </c>
      <c r="P28" s="104" t="str">
        <f>IF($E28=0," ",IF($E28=$D$31,VLOOKUP($C28,'Valeurs Règlement Campagne'!$A$4:$T$7,20,FALSE),VLOOKUP($C28,'Valeurs Règlement Campagne'!$A$4:$P$7,9,FALSE)))</f>
        <v xml:space="preserve"> </v>
      </c>
      <c r="Q28" s="111" t="str">
        <f t="shared" si="0"/>
        <v xml:space="preserve"> </v>
      </c>
      <c r="R28" s="112" t="str" cm="1">
        <f t="array" ref="R28">IF(C28=0," ",IF(AND(E28="Connues",AC28&lt;&gt;"",COUNTIFS(AC$6:AC$29,AC28,C$6:C$29,C28)&gt;1),"Doublon",IF(AND(E28="Connues",SUMPRODUCT((E$6:E$29="Connues")*(C$6:C$29=C28)*(ROW($6:$29)&lt;&gt;ROW())*(ABS(F$6:F$29-F28)&lt;=2)*((ABS(F$6:F$29-VLOOKUP(C28,'Valeurs Règlement Campagne'!$A$4:$T$7,12,FALSE))&lt;=2)+(ABS(F$6:F$29-VLOOKUP(C28,'Valeurs Règlement Campagne'!$A$4:$T$7,13,FALSE))&lt;=2)+(ABS(F$6:F$29-VLOOKUP(C28,'Valeurs Règlement Campagne'!$A$4:$T$7,14,FALSE))&lt;=2)))&gt;0),"Doublon",IF($C28=0," ",IF(F28=0," ",IF(E28="Inconnues",AND(F28&gt;=K28,F28&lt;=L28),IF(AND('Valeurs Règlement Campagne'!$L$14="OUI",E28="Connues"),AND(F28&gt;=K28-2,F28&lt;=L28+2),OR(F28=K28,F28=K28+5,F28=L28))))))))</f>
        <v xml:space="preserve"> </v>
      </c>
      <c r="S28" s="113" t="str" cm="1">
        <f t="array" ref="S28">IF(C28=0," ",IF(AND(E28="Connues",AD28&lt;&gt;"",COUNTIFS(AD$6:AD$29,AD28,C$6:C$29,C28)&gt;1),"Doublon",IF(AND(E28="Connues",SUMPRODUCT((E$6:E$29="Connues")*(C$6:C$29=C28)*(ROW($6:$29)&lt;&gt;ROW())*(ABS(G$6:G$29-G28)&lt;=2)*((ABS(G$6:G$29-VLOOKUP(C28,'Valeurs Règlement Campagne'!$A$4:$T$7,15,FALSE))&lt;=2)+(ABS(G$6:G$29-VLOOKUP(C28,'Valeurs Règlement Campagne'!$A$4:$T$7,16,FALSE))&lt;=2)+(ABS(G$6:G$29-VLOOKUP(C28,'Valeurs Règlement Campagne'!$A$4:$T$7,17,FALSE))&lt;=2)))&gt;0),"Doublon",IF($C28=0," ",IF(G28=0," ",IF(E28="Inconnues",AND(G28&gt;=M28,G28&lt;=N28),IF(AND('Valeurs Règlement Campagne'!$L$14="OUI",E28="Connues"),AND(G28&gt;=M28-2,G28&lt;=N28+2),OR(G28=M28,G28=M28+5,G28=N28))))))))</f>
        <v xml:space="preserve"> </v>
      </c>
      <c r="T28" s="113" t="str" cm="1">
        <f t="array" ref="T28">IF(C28=0," ",IF(AND(E28="Connues",AE28&lt;&gt;"",COUNTIFS(AE$6:AE$29,AE28,C$6:C$29,C28)&gt;1),"Doublon",IF(AND(E28="Connues",SUMPRODUCT((E$6:E$29="Connues")*(C$6:C$29=C28)*(ROW($6:$29)&lt;&gt;ROW())*(ABS(H$6:H$29-H28)&lt;=2)*((ABS(H$6:H$29-VLOOKUP(C28,'Valeurs Règlement Campagne'!$A$4:$T$7,18,FALSE))&lt;=2)+(ABS(H$7:H$30-VLOOKUP(C28,'Valeurs Règlement Campagne'!$A$4:$T$7,19,FALSE))&lt;=2)+(ABS(H$6:H$29-VLOOKUP(C28,'Valeurs Règlement Campagne'!$A$4:$T$7,20,FALSE))&lt;=2)))&gt;0),"Doublon",IF($C28=0," ",IF(H28=0," ",IF(E28="Inconnues",AND(H28&gt;=O28,H28&lt;=P28),IF(AND('Valeurs Règlement Campagne'!$L$14="OUI",E28="Connues"),AND(H28&gt;=O28-2,H28&lt;=P28+2),OR(H28=O28,H28=O28+5,H28=P28))))))))</f>
        <v xml:space="preserve"> </v>
      </c>
      <c r="U28" s="110" t="str">
        <f>IF($C28=0," ",IF(I28=0," ",IF('Valeurs Règlement Campagne'!$L$14="OUI",AND(I28&gt;=O28-2,I28&lt;=Q28+2),OR(I28=O28,I28=O28+5,I28=Q28))))</f>
        <v xml:space="preserve"> </v>
      </c>
      <c r="V28" s="281" t="str">
        <f t="shared" si="6"/>
        <v xml:space="preserve"> </v>
      </c>
      <c r="W28" s="282"/>
      <c r="X28" s="282" t="str">
        <f t="shared" si="7"/>
        <v xml:space="preserve"> </v>
      </c>
      <c r="Y28" s="282"/>
      <c r="Z28" s="282" t="str">
        <f t="shared" si="8"/>
        <v xml:space="preserve"> </v>
      </c>
      <c r="AA28" s="283"/>
      <c r="AB28" s="114" t="str">
        <f t="shared" si="5"/>
        <v/>
      </c>
      <c r="AC28" s="100" t="str">
        <f>IF(
  E28="Connues",
  IF(
    ABS(F28 - VLOOKUP(C28,'Valeurs Règlement Campagne'!$A$4:$T$7,12,FALSE))&lt;=2,
    VLOOKUP(C28,'Valeurs Règlement Campagne'!$A$4:$T$7,12,FALSE),
    IF(
      ABS(F28 - VLOOKUP(C28,'Valeurs Règlement Campagne'!$A$4:$T$7,13,FALSE))&lt;=2,
      VLOOKUP(C28,'Valeurs Règlement Campagne'!$A$4:$T$7,13,FALSE),
      IF(
        ABS(F28 - VLOOKUP(C28,'Valeurs Règlement Campagne'!$A$4:$T$7,14,FALSE))&lt;=2,
        VLOOKUP(C28,'Valeurs Règlement Campagne'!$A$4:$T$7,14,FALSE),
        ""
      )
    )
  ),
  ""
)</f>
        <v/>
      </c>
      <c r="AD28" s="100" t="str">
        <f>IF(
  E28="Connues",
  IF(
    ABS(G28 - VLOOKUP(C28,'Valeurs Règlement Campagne'!$A$4:$T$7,15,FALSE))&lt;=2,
    VLOOKUP(C28,'Valeurs Règlement Campagne'!$A$4:$T$7,15,FALSE),
    IF(
      ABS(G28 - VLOOKUP(C28,'Valeurs Règlement Campagne'!$A$4:$T$7,16,FALSE))&lt;=2,
      VLOOKUP(C28,'Valeurs Règlement Campagne'!$A$4:$T$7,16,FALSE),
      IF(
        ABS(G28 - VLOOKUP(C28,'Valeurs Règlement Campagne'!$A$4:$T$7,17,FALSE))&lt;=2,
        VLOOKUP(C28,'Valeurs Règlement Campagne'!$A$4:$T$7,17,FALSE),
        ""
      )
    )
  ),
  ""
)</f>
        <v/>
      </c>
      <c r="AE28" s="100" t="str">
        <f>IF(
  E28="Connues",
  IF(
    ABS(H28 - VLOOKUP(C28,'Valeurs Règlement Campagne'!$A$4:$T$7,15,FALSE))&lt;=2,
    VLOOKUP(C28,'Valeurs Règlement Campagne'!$A$4:$T$7,15,FALSE),
    IF(
      ABS(H28 - VLOOKUP(C28,'Valeurs Règlement Campagne'!$A$4:$T$7,16,FALSE))&lt;=2,
      VLOOKUP(C28,'Valeurs Règlement Campagne'!$A$4:$T$7,16,FALSE),
      IF(
        ABS(H28 - VLOOKUP(C28,'Valeurs Règlement Campagne'!$A$4:$T$7,17,FALSE))&lt;=2,
        VLOOKUP(C28,'Valeurs Règlement Campagne'!$A$4:$T$7,17,FALSE),
        ""
      )
    )
  ),
  ""
)</f>
        <v/>
      </c>
    </row>
    <row r="29" spans="1:212" ht="20.75" customHeight="1" thickBot="1">
      <c r="A29" s="214">
        <v>24</v>
      </c>
      <c r="B29" s="311"/>
      <c r="C29" s="285"/>
      <c r="D29" s="286"/>
      <c r="E29" s="62"/>
      <c r="F29" s="167"/>
      <c r="G29" s="173"/>
      <c r="H29" s="174"/>
      <c r="I29" s="176"/>
      <c r="J29" s="101"/>
      <c r="K29" s="102" t="str">
        <f>IF($E29=0," ",IF($E29=$D$31,VLOOKUP($C29,'Valeurs Règlement Campagne'!$A$4:$T$7,12,FALSE),VLOOKUP($C29,'Valeurs Règlement Campagne'!$A$4:$I$7,4,FALSE)))</f>
        <v xml:space="preserve"> </v>
      </c>
      <c r="L29" s="103" t="str">
        <f>IF($E29=0," ",IF($E29=$D$31,VLOOKUP($C29,'Valeurs Règlement Campagne'!$A$4:$T$7,14,FALSE),VLOOKUP($C29,'Valeurs Règlement Campagne'!$A$4:$L$7,5,FALSE)))</f>
        <v xml:space="preserve"> </v>
      </c>
      <c r="M29" s="102" t="str">
        <f>IF($E29=0," ",IF($E29=$D$31,VLOOKUP($C29,'Valeurs Règlement Campagne'!$A$4:$T$7,15,FALSE),VLOOKUP($C29,'Valeurs Règlement Campagne'!$A$4:$M$7,6,FALSE)))</f>
        <v xml:space="preserve"> </v>
      </c>
      <c r="N29" s="104" t="str">
        <f>IF($E29=0," ",IF($E29=$D$31,VLOOKUP($C29,'Valeurs Règlement Campagne'!$A$4:$T$7,17,FALSE),VLOOKUP($C29,'Valeurs Règlement Campagne'!$A$4:$N$7,7,FALSE)))</f>
        <v xml:space="preserve"> </v>
      </c>
      <c r="O29" s="105" t="str">
        <f>IF($E29=0," ",IF($E29=$D$31,VLOOKUP($C29,'Valeurs Règlement Campagne'!$A$4:$T$7,18,FALSE),VLOOKUP($C29,'Valeurs Règlement Campagne'!$A$4:$O$7,8,FALSE)))</f>
        <v xml:space="preserve"> </v>
      </c>
      <c r="P29" s="104" t="str">
        <f>IF($E29=0," ",IF($E29=$D$31,VLOOKUP($C29,'Valeurs Règlement Campagne'!$A$4:$T$7,20,FALSE),VLOOKUP($C29,'Valeurs Règlement Campagne'!$A$4:$P$7,9,FALSE)))</f>
        <v xml:space="preserve"> </v>
      </c>
      <c r="Q29" s="115" t="str">
        <f t="shared" si="0"/>
        <v xml:space="preserve"> </v>
      </c>
      <c r="R29" s="116" t="str" cm="1">
        <f t="array" ref="R29">IF(C29=0," ",IF(AND(E29="Connues",AC29&lt;&gt;"",COUNTIFS(AC$6:AC$29,AC29,C$6:C$29,C29)&gt;1),"Doublon",IF(AND(E29="Connues",SUMPRODUCT((E$6:E$29="Connues")*(C$6:C$29=C29)*(ROW($6:$29)&lt;&gt;ROW())*(ABS(F$6:F$29-F29)&lt;=2)*((ABS(F$6:F$29-VLOOKUP(C29,'Valeurs Règlement Campagne'!$A$4:$T$7,12,FALSE))&lt;=2)+(ABS(F$6:F$29-VLOOKUP(C29,'Valeurs Règlement Campagne'!$A$4:$T$7,13,FALSE))&lt;=2)+(ABS(F$6:F$29-VLOOKUP(C29,'Valeurs Règlement Campagne'!$A$4:$T$7,14,FALSE))&lt;=2)))&gt;0),"Doublon",IF($C29=0," ",IF(F29=0," ",IF(E29="Inconnues",AND(F29&gt;=K29,F29&lt;=L29),IF(AND('Valeurs Règlement Campagne'!$L$14="OUI",E29="Connues"),AND(F29&gt;=K29-2,F29&lt;=L29+2),OR(F29=K29,F29=K29+5,F29=L29))))))))</f>
        <v xml:space="preserve"> </v>
      </c>
      <c r="S29" s="117" t="str" cm="1">
        <f t="array" ref="S29">IF(C29=0," ",IF(AND(E29="Connues",AD29&lt;&gt;"",COUNTIFS(AD$6:AD$29,AD29,C$6:C$29,C29)&gt;1),"Doublon",IF(AND(E29="Connues",SUMPRODUCT((E$6:E$29="Connues")*(C$6:C$29=C29)*(ROW($6:$29)&lt;&gt;ROW())*(ABS(G$6:G$29-G29)&lt;=2)*((ABS(G$6:G$29-VLOOKUP(C29,'Valeurs Règlement Campagne'!$A$4:$T$7,15,FALSE))&lt;=2)+(ABS(G$6:G$29-VLOOKUP(C29,'Valeurs Règlement Campagne'!$A$4:$T$7,16,FALSE))&lt;=2)+(ABS(G$6:G$29-VLOOKUP(C29,'Valeurs Règlement Campagne'!$A$4:$T$7,17,FALSE))&lt;=2)))&gt;0),"Doublon",IF($C29=0," ",IF(G29=0," ",IF(E29="Inconnues",AND(G29&gt;=M29,G29&lt;=N29),IF(AND('Valeurs Règlement Campagne'!$L$14="OUI",E29="Connues"),AND(G29&gt;=M29-2,G29&lt;=N29+2),OR(G29=M29,G29=M29+5,G29=N29))))))))</f>
        <v xml:space="preserve"> </v>
      </c>
      <c r="T29" s="117" t="str" cm="1">
        <f t="array" ref="T29">IF(C29=0," ",IF(AND(E29="Connues",AE29&lt;&gt;"",COUNTIFS(AE$6:AE$29,AE29,C$6:C$29,C29)&gt;1),"Doublon",IF(AND(E29="Connues",SUMPRODUCT((E$6:E$29="Connues")*(C$6:C$29=C29)*(ROW($6:$29)&lt;&gt;ROW())*(ABS(H$6:H$29-H29)&lt;=2)*((ABS(H$6:H$29-VLOOKUP(C29,'Valeurs Règlement Campagne'!$A$4:$T$7,18,FALSE))&lt;=2)+(ABS(H$7:H$30-VLOOKUP(C29,'Valeurs Règlement Campagne'!$A$4:$T$7,19,FALSE))&lt;=2)+(ABS(H$6:H$29-VLOOKUP(C29,'Valeurs Règlement Campagne'!$A$4:$T$7,20,FALSE))&lt;=2)))&gt;0),"Doublon",IF($C29=0," ",IF(H29=0," ",IF(E29="Inconnues",AND(H29&gt;=O29,H29&lt;=P29),IF(AND('Valeurs Règlement Campagne'!$L$14="OUI",E29="Connues"),AND(H29&gt;=O29-2,H29&lt;=P29+2),OR(H29=O29,H29=O29+5,H29=P29))))))))</f>
        <v xml:space="preserve"> </v>
      </c>
      <c r="U29" s="118" t="str">
        <f>IF($C29=0," ",IF(I29=0," ",IF('Valeurs Règlement Campagne'!$L$14="OUI",AND(I29&gt;=O29-2,I29&lt;=Q29+2),OR(I29=O29,I29=O29+5,I29=Q29))))</f>
        <v xml:space="preserve"> </v>
      </c>
      <c r="V29" s="287" t="str">
        <f t="shared" si="6"/>
        <v xml:space="preserve"> </v>
      </c>
      <c r="W29" s="288"/>
      <c r="X29" s="288" t="str">
        <f t="shared" si="7"/>
        <v xml:space="preserve"> </v>
      </c>
      <c r="Y29" s="288"/>
      <c r="Z29" s="288" t="str">
        <f t="shared" si="8"/>
        <v xml:space="preserve"> </v>
      </c>
      <c r="AA29" s="289"/>
      <c r="AB29" s="114" t="str">
        <f t="shared" si="5"/>
        <v/>
      </c>
      <c r="AC29" s="100" t="str">
        <f>IF(
  E29="Connues",
  IF(
    ABS(F29 - VLOOKUP(C29,'Valeurs Règlement Campagne'!$A$4:$T$7,12,FALSE))&lt;=2,
    VLOOKUP(C29,'Valeurs Règlement Campagne'!$A$4:$T$7,12,FALSE),
    IF(
      ABS(F29 - VLOOKUP(C29,'Valeurs Règlement Campagne'!$A$4:$T$7,13,FALSE))&lt;=2,
      VLOOKUP(C29,'Valeurs Règlement Campagne'!$A$4:$T$7,13,FALSE),
      IF(
        ABS(F29 - VLOOKUP(C29,'Valeurs Règlement Campagne'!$A$4:$T$7,14,FALSE))&lt;=2,
        VLOOKUP(C29,'Valeurs Règlement Campagne'!$A$4:$T$7,14,FALSE),
        ""
      )
    )
  ),
  ""
)</f>
        <v/>
      </c>
      <c r="AD29" s="100" t="str">
        <f>IF(
  E29="Connues",
  IF(
    ABS(G29 - VLOOKUP(C29,'Valeurs Règlement Campagne'!$A$4:$T$7,15,FALSE))&lt;=2,
    VLOOKUP(C29,'Valeurs Règlement Campagne'!$A$4:$T$7,15,FALSE),
    IF(
      ABS(G29 - VLOOKUP(C29,'Valeurs Règlement Campagne'!$A$4:$T$7,16,FALSE))&lt;=2,
      VLOOKUP(C29,'Valeurs Règlement Campagne'!$A$4:$T$7,16,FALSE),
      IF(
        ABS(G29 - VLOOKUP(C29,'Valeurs Règlement Campagne'!$A$4:$T$7,17,FALSE))&lt;=2,
        VLOOKUP(C29,'Valeurs Règlement Campagne'!$A$4:$T$7,17,FALSE),
        ""
      )
    )
  ),
  ""
)</f>
        <v/>
      </c>
      <c r="AE29" s="100" t="str">
        <f>IF(
  E29="Connues",
  IF(
    ABS(H29 - VLOOKUP(C29,'Valeurs Règlement Campagne'!$A$4:$T$7,15,FALSE))&lt;=2,
    VLOOKUP(C29,'Valeurs Règlement Campagne'!$A$4:$T$7,15,FALSE),
    IF(
      ABS(H29 - VLOOKUP(C29,'Valeurs Règlement Campagne'!$A$4:$T$7,16,FALSE))&lt;=2,
      VLOOKUP(C29,'Valeurs Règlement Campagne'!$A$4:$T$7,16,FALSE),
      IF(
        ABS(H29 - VLOOKUP(C29,'Valeurs Règlement Campagne'!$A$4:$T$7,17,FALSE))&lt;=2,
        VLOOKUP(C29,'Valeurs Règlement Campagne'!$A$4:$T$7,17,FALSE),
        ""
      )
    )
  ),
  ""
)</f>
        <v/>
      </c>
    </row>
    <row r="30" spans="1:212" ht="19.75" customHeight="1" thickBot="1">
      <c r="A30" s="119"/>
      <c r="B30" s="120"/>
      <c r="C30" s="119"/>
      <c r="F30" s="122"/>
      <c r="G30" s="122"/>
      <c r="H30" s="122"/>
      <c r="I30" s="122"/>
      <c r="J30" s="123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</row>
    <row r="31" spans="1:212" ht="27" customHeight="1" thickBot="1">
      <c r="A31" s="119"/>
      <c r="B31" s="124" t="s">
        <v>15</v>
      </c>
      <c r="C31" s="125" t="str">
        <f>'Valeurs Règlement Campagne'!D8</f>
        <v>Inconnues</v>
      </c>
      <c r="D31" s="126" t="str">
        <f>'Valeurs Règlement Campagne'!L8</f>
        <v>Connues</v>
      </c>
      <c r="E31" s="127" t="s">
        <v>9</v>
      </c>
      <c r="F31" s="67" t="s">
        <v>16</v>
      </c>
      <c r="G31" s="83" t="s">
        <v>16</v>
      </c>
      <c r="H31" s="128" t="s">
        <v>16</v>
      </c>
      <c r="I31" s="122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</row>
    <row r="32" spans="1:212" ht="27.25" customHeight="1" thickBot="1">
      <c r="A32" s="129" t="str">
        <f>'Valeurs Règlement Campagne'!A4</f>
        <v>4 trispots 20 cm</v>
      </c>
      <c r="B32" s="130">
        <f>'Valeurs Règlement Campagne'!B4+'Valeurs Règlement Campagne'!C4</f>
        <v>6</v>
      </c>
      <c r="C32" s="131">
        <f>COUNTIFS($C6:$C29,A32,E6:E29,C31)</f>
        <v>0</v>
      </c>
      <c r="D32" s="132">
        <f>COUNTIFS($C6:$C29,A32,E6:E29,D31)</f>
        <v>0</v>
      </c>
      <c r="E32" s="133" t="str">
        <f>IF(C32=D32,IF(C32+D32=B32,"ok","manque"),"manque")</f>
        <v>manque</v>
      </c>
      <c r="F32" s="134" t="str">
        <f>IFERROR(AVERAGEIF(C6:C29,A32,F6:F29)," ")</f>
        <v xml:space="preserve"> </v>
      </c>
      <c r="G32" s="135" t="str">
        <f>IFERROR(AVERAGEIF(C6:C29,A32,G6:G29)," ")</f>
        <v xml:space="preserve"> </v>
      </c>
      <c r="H32" s="136" t="str">
        <f>IFERROR(AVERAGEIF(C6:C29,A32,H6:H29)," ")</f>
        <v xml:space="preserve"> </v>
      </c>
      <c r="I32" s="122"/>
      <c r="K32" s="64"/>
      <c r="L32" s="64"/>
      <c r="M32" s="64"/>
      <c r="N32" s="64"/>
      <c r="O32" s="258" t="s">
        <v>53</v>
      </c>
      <c r="P32" s="259"/>
      <c r="Q32" s="259"/>
      <c r="R32" s="259"/>
      <c r="S32" s="259"/>
      <c r="T32" s="259"/>
      <c r="U32" s="259"/>
      <c r="V32" s="260"/>
      <c r="W32" s="64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</row>
    <row r="33" spans="1:212" ht="20.75" customHeight="1" thickBot="1">
      <c r="A33" s="137" t="str">
        <f>'Valeurs Règlement Campagne'!A5</f>
        <v>4 cibles de 40 cm</v>
      </c>
      <c r="B33" s="130">
        <f>'Valeurs Règlement Campagne'!B5+'Valeurs Règlement Campagne'!C5</f>
        <v>6</v>
      </c>
      <c r="C33" s="131">
        <f>COUNTIFS($C6:$C29,A33,E6:E29,C31)</f>
        <v>0</v>
      </c>
      <c r="D33" s="138">
        <f>COUNTIFS($C6:$C29,A33,E6:E29,D31)</f>
        <v>0</v>
      </c>
      <c r="E33" s="139" t="str">
        <f t="shared" ref="E33:E35" si="9">IF(C33=D33,IF(C33+D33=B33,"ok","manque"),"manque")</f>
        <v>manque</v>
      </c>
      <c r="F33" s="140" t="str">
        <f>IFERROR(AVERAGEIF($C6:$C29,A33,F6:F29)," ")</f>
        <v xml:space="preserve"> </v>
      </c>
      <c r="G33" s="141" t="str">
        <f>IFERROR(AVERAGEIF($C6:$C29,A33,G6:G29)," ")</f>
        <v xml:space="preserve"> </v>
      </c>
      <c r="H33" s="142" t="str">
        <f>IFERROR(AVERAGEIF($C6:$C29,A33,H6:H29)," ")</f>
        <v xml:space="preserve"> </v>
      </c>
      <c r="I33" s="122"/>
      <c r="K33" s="64"/>
      <c r="L33" s="64"/>
      <c r="M33" s="64"/>
      <c r="N33" s="64"/>
      <c r="O33" s="261"/>
      <c r="P33" s="262"/>
      <c r="Q33" s="262"/>
      <c r="R33" s="262"/>
      <c r="S33" s="262"/>
      <c r="T33" s="262"/>
      <c r="U33" s="262"/>
      <c r="V33" s="263"/>
      <c r="W33" s="64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</row>
    <row r="34" spans="1:212" ht="20.75" customHeight="1" thickBot="1">
      <c r="A34" s="129" t="str">
        <f>'Valeurs Règlement Campagne'!A6</f>
        <v>1 cible de 60 cm</v>
      </c>
      <c r="B34" s="130">
        <f>'Valeurs Règlement Campagne'!B6+'Valeurs Règlement Campagne'!C6</f>
        <v>6</v>
      </c>
      <c r="C34" s="131">
        <f>COUNTIFS($C6:$C29,A34,E6:E29,C31)</f>
        <v>0</v>
      </c>
      <c r="D34" s="132">
        <f>COUNTIFS($C6:$C29,A34,E6:E29,D31)</f>
        <v>0</v>
      </c>
      <c r="E34" s="139" t="str">
        <f t="shared" si="9"/>
        <v>manque</v>
      </c>
      <c r="F34" s="134" t="str">
        <f>IFERROR(AVERAGEIF($C6:$C29,A34,F6:F29)," ")</f>
        <v xml:space="preserve"> </v>
      </c>
      <c r="G34" s="135" t="str">
        <f>IFERROR(AVERAGEIF($C6:$C29,A34,G6:G29)," ")</f>
        <v xml:space="preserve"> </v>
      </c>
      <c r="H34" s="136" t="str">
        <f>IFERROR(AVERAGEIF($C6:$C29,A34,H6:H29)," ")</f>
        <v xml:space="preserve"> </v>
      </c>
      <c r="I34" s="122"/>
      <c r="K34" s="64"/>
      <c r="L34" s="64"/>
      <c r="M34" s="64"/>
      <c r="N34" s="64"/>
      <c r="O34" s="264"/>
      <c r="P34" s="265"/>
      <c r="Q34" s="265"/>
      <c r="R34" s="265"/>
      <c r="S34" s="265"/>
      <c r="T34" s="265"/>
      <c r="U34" s="265"/>
      <c r="V34" s="266"/>
      <c r="W34" s="64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</row>
    <row r="35" spans="1:212" ht="20.75" customHeight="1" thickBot="1">
      <c r="A35" s="143" t="str">
        <f>'Valeurs Règlement Campagne'!A7</f>
        <v>1 cible de 80 cm</v>
      </c>
      <c r="B35" s="130">
        <f>'Valeurs Règlement Campagne'!B7+'Valeurs Règlement Campagne'!C7</f>
        <v>6</v>
      </c>
      <c r="C35" s="131">
        <f>COUNTIFS($C6:$C29,A35,E6:E29,C31)</f>
        <v>0</v>
      </c>
      <c r="D35" s="144">
        <f>COUNTIFS($C6:$C29,A35,E6:E29,D31)</f>
        <v>0</v>
      </c>
      <c r="E35" s="145" t="str">
        <f t="shared" si="9"/>
        <v>manque</v>
      </c>
      <c r="F35" s="146" t="str">
        <f>IFERROR(AVERAGEIF($C6:$C29,A35,F6:F29)," ")</f>
        <v xml:space="preserve"> </v>
      </c>
      <c r="G35" s="147" t="str">
        <f>IFERROR(AVERAGEIF($C6:$C29,A35,G6:G29)," ")</f>
        <v xml:space="preserve"> </v>
      </c>
      <c r="H35" s="148" t="str">
        <f>IFERROR(AVERAGEIF($C6:$C29,A35,H6:H29)," ")</f>
        <v xml:space="preserve"> </v>
      </c>
      <c r="I35" s="122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</row>
    <row r="36" spans="1:212" ht="20.75" customHeight="1" thickBot="1">
      <c r="A36" s="149"/>
      <c r="B36" s="150">
        <f>SUM(B32:B35)</f>
        <v>24</v>
      </c>
      <c r="C36" s="150">
        <f>SUM(C32:C35)</f>
        <v>0</v>
      </c>
      <c r="D36" s="150">
        <f>SUM(D32:D35)</f>
        <v>0</v>
      </c>
      <c r="F36" s="67" t="s">
        <v>8</v>
      </c>
      <c r="G36" s="83" t="s">
        <v>8</v>
      </c>
      <c r="H36" s="128" t="s">
        <v>8</v>
      </c>
      <c r="I36" s="122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</row>
    <row r="37" spans="1:212" ht="20" customHeight="1" thickBot="1">
      <c r="C37" s="121"/>
      <c r="E37" s="127" t="s">
        <v>40</v>
      </c>
      <c r="F37" s="134">
        <f>SUM(F6:F29)</f>
        <v>0</v>
      </c>
      <c r="G37" s="135">
        <f>SUM(G6:G29)</f>
        <v>0</v>
      </c>
      <c r="H37" s="136">
        <f>SUM(H6:H29)</f>
        <v>0</v>
      </c>
      <c r="I37" s="122"/>
    </row>
    <row r="38" spans="1:212" ht="20" customHeight="1" thickBot="1">
      <c r="A38" s="151" t="s">
        <v>50</v>
      </c>
      <c r="B38" s="313" t="str">
        <f>IF('Valeurs Règlement Campagne'!$L$14="OUI","Active","Inactive")</f>
        <v>Active</v>
      </c>
      <c r="C38" s="314"/>
      <c r="E38" s="152" t="s">
        <v>23</v>
      </c>
      <c r="F38" s="134">
        <f>SUMIF(E6:E29, "Inconnues", F6:F29)</f>
        <v>0</v>
      </c>
      <c r="G38" s="135">
        <f>SUMIF(E6:E29, "Inconnues", G6:G29)</f>
        <v>0</v>
      </c>
      <c r="H38" s="136">
        <f>SUMIF(E6:E29, "Inconnues", H6:H29)</f>
        <v>0</v>
      </c>
      <c r="I38" s="122"/>
    </row>
    <row r="39" spans="1:212" ht="24" customHeight="1" thickBot="1">
      <c r="B39" s="321" t="s">
        <v>41</v>
      </c>
      <c r="C39" s="322"/>
      <c r="D39" s="153">
        <f>'Valeurs Règlement Campagne'!D10</f>
        <v>300</v>
      </c>
      <c r="E39" s="154">
        <f>'Valeurs Règlement Campagne'!E10</f>
        <v>330</v>
      </c>
      <c r="F39" s="139" t="str">
        <f>IF(AND(F38&gt;=D39,F38&lt;=E39),"ok","hors fourchette")</f>
        <v>hors fourchette</v>
      </c>
      <c r="I39" s="122"/>
    </row>
    <row r="40" spans="1:212" ht="23" customHeight="1" thickBot="1">
      <c r="B40" s="325" t="s">
        <v>42</v>
      </c>
      <c r="C40" s="256"/>
      <c r="D40" s="153">
        <f>'Valeurs Règlement Campagne'!D11</f>
        <v>220</v>
      </c>
      <c r="E40" s="154">
        <f>'Valeurs Règlement Campagne'!E11</f>
        <v>244</v>
      </c>
      <c r="G40" s="139" t="str">
        <f>IF(AND(G38&gt;=D40,G38&lt;=E40),"ok","hors fourchette")</f>
        <v>hors fourchette</v>
      </c>
      <c r="I40" s="122"/>
    </row>
    <row r="41" spans="1:212" ht="24" customHeight="1" thickBot="1">
      <c r="B41" s="323" t="s">
        <v>49</v>
      </c>
      <c r="C41" s="324"/>
      <c r="D41" s="153">
        <f>'Valeurs Règlement Campagne'!D12</f>
        <v>192</v>
      </c>
      <c r="E41" s="154">
        <f>'Valeurs Règlement Campagne'!E12</f>
        <v>212</v>
      </c>
      <c r="H41" s="139" t="str">
        <f>IF(AND(H38&gt;=D41,H38&lt;=E41),"ok","hors fourchette")</f>
        <v>hors fourchette</v>
      </c>
      <c r="I41" s="122"/>
    </row>
    <row r="42" spans="1:212" ht="20" customHeight="1">
      <c r="I42" s="122"/>
    </row>
    <row r="43" spans="1:212" ht="20" customHeight="1">
      <c r="I43" s="122"/>
    </row>
  </sheetData>
  <sheetProtection sheet="1" selectLockedCells="1"/>
  <mergeCells count="114">
    <mergeCell ref="B41:C41"/>
    <mergeCell ref="O32:V34"/>
    <mergeCell ref="C29:D29"/>
    <mergeCell ref="V29:W29"/>
    <mergeCell ref="X29:Y29"/>
    <mergeCell ref="Z29:AA29"/>
    <mergeCell ref="B39:C39"/>
    <mergeCell ref="B40:C40"/>
    <mergeCell ref="C27:D27"/>
    <mergeCell ref="V27:W27"/>
    <mergeCell ref="X27:Y27"/>
    <mergeCell ref="Z27:AA27"/>
    <mergeCell ref="C28:D28"/>
    <mergeCell ref="V28:W28"/>
    <mergeCell ref="X28:Y28"/>
    <mergeCell ref="Z28:AA28"/>
    <mergeCell ref="C25:D25"/>
    <mergeCell ref="V25:W25"/>
    <mergeCell ref="X25:Y25"/>
    <mergeCell ref="Z25:AA25"/>
    <mergeCell ref="C26:D26"/>
    <mergeCell ref="V26:W26"/>
    <mergeCell ref="X26:Y26"/>
    <mergeCell ref="Z26:AA26"/>
    <mergeCell ref="C23:D23"/>
    <mergeCell ref="V23:W23"/>
    <mergeCell ref="X23:Y23"/>
    <mergeCell ref="Z23:AA23"/>
    <mergeCell ref="C24:D24"/>
    <mergeCell ref="V24:W24"/>
    <mergeCell ref="X24:Y24"/>
    <mergeCell ref="Z24:AA24"/>
    <mergeCell ref="C21:D21"/>
    <mergeCell ref="V21:W21"/>
    <mergeCell ref="X21:Y21"/>
    <mergeCell ref="Z21:AA21"/>
    <mergeCell ref="C22:D22"/>
    <mergeCell ref="V22:W22"/>
    <mergeCell ref="X22:Y22"/>
    <mergeCell ref="Z22:AA22"/>
    <mergeCell ref="C19:D19"/>
    <mergeCell ref="V19:W19"/>
    <mergeCell ref="X19:Y19"/>
    <mergeCell ref="Z19:AA19"/>
    <mergeCell ref="C20:D20"/>
    <mergeCell ref="V20:W20"/>
    <mergeCell ref="X20:Y20"/>
    <mergeCell ref="Z20:AA20"/>
    <mergeCell ref="C17:D17"/>
    <mergeCell ref="V17:W17"/>
    <mergeCell ref="X17:Y17"/>
    <mergeCell ref="Z17:AA17"/>
    <mergeCell ref="C18:D18"/>
    <mergeCell ref="V18:W18"/>
    <mergeCell ref="X18:Y18"/>
    <mergeCell ref="Z18:AA18"/>
    <mergeCell ref="C15:D15"/>
    <mergeCell ref="V15:W15"/>
    <mergeCell ref="X15:Y15"/>
    <mergeCell ref="Z15:AA15"/>
    <mergeCell ref="C16:D16"/>
    <mergeCell ref="V16:W16"/>
    <mergeCell ref="X16:Y16"/>
    <mergeCell ref="Z16:AA16"/>
    <mergeCell ref="C13:D13"/>
    <mergeCell ref="V13:W13"/>
    <mergeCell ref="X13:Y13"/>
    <mergeCell ref="Z13:AA13"/>
    <mergeCell ref="C14:D14"/>
    <mergeCell ref="V14:W14"/>
    <mergeCell ref="X14:Y14"/>
    <mergeCell ref="Z14:AA14"/>
    <mergeCell ref="C11:D11"/>
    <mergeCell ref="V11:W11"/>
    <mergeCell ref="X11:Y11"/>
    <mergeCell ref="Z11:AA11"/>
    <mergeCell ref="C12:D12"/>
    <mergeCell ref="V12:W12"/>
    <mergeCell ref="X12:Y12"/>
    <mergeCell ref="Z12:AA12"/>
    <mergeCell ref="C9:D9"/>
    <mergeCell ref="V9:W9"/>
    <mergeCell ref="X9:Y9"/>
    <mergeCell ref="Z9:AA9"/>
    <mergeCell ref="C10:D10"/>
    <mergeCell ref="V10:W10"/>
    <mergeCell ref="X10:Y10"/>
    <mergeCell ref="Z10:AA10"/>
    <mergeCell ref="C7:D7"/>
    <mergeCell ref="V7:W7"/>
    <mergeCell ref="X7:Y7"/>
    <mergeCell ref="Z7:AA7"/>
    <mergeCell ref="C8:D8"/>
    <mergeCell ref="V8:W8"/>
    <mergeCell ref="X8:Y8"/>
    <mergeCell ref="Z8:AA8"/>
    <mergeCell ref="AB2:AB3"/>
    <mergeCell ref="C5:D5"/>
    <mergeCell ref="V5:W5"/>
    <mergeCell ref="X5:Y5"/>
    <mergeCell ref="Z5:AA5"/>
    <mergeCell ref="C6:D6"/>
    <mergeCell ref="V6:W6"/>
    <mergeCell ref="X6:Y6"/>
    <mergeCell ref="Z6:AA6"/>
    <mergeCell ref="A1:X1"/>
    <mergeCell ref="A2:A4"/>
    <mergeCell ref="B2:B4"/>
    <mergeCell ref="C2:D4"/>
    <mergeCell ref="E2:E4"/>
    <mergeCell ref="F2:I3"/>
    <mergeCell ref="K2:Q2"/>
    <mergeCell ref="R2:U3"/>
    <mergeCell ref="V2:AA3"/>
  </mergeCells>
  <conditionalFormatting sqref="B38">
    <cfRule type="expression" dxfId="54" priority="11">
      <formula>$B$38="Inactive"</formula>
    </cfRule>
    <cfRule type="expression" dxfId="53" priority="12">
      <formula>$B$38="active"</formula>
    </cfRule>
  </conditionalFormatting>
  <conditionalFormatting sqref="I5">
    <cfRule type="expression" dxfId="44" priority="1">
      <formula>LEFT(C5,1)="4"</formula>
    </cfRule>
  </conditionalFormatting>
  <conditionalFormatting sqref="I6:I29">
    <cfRule type="expression" dxfId="43" priority="2" stopIfTrue="1">
      <formula>OR($AB6="Manque orange",$AB6="Obligatoire")</formula>
    </cfRule>
    <cfRule type="expression" dxfId="42" priority="3">
      <formula>$AB6="Possible"</formula>
    </cfRule>
    <cfRule type="expression" dxfId="41" priority="4">
      <formula>$AB6=""</formula>
    </cfRule>
  </conditionalFormatting>
  <conditionalFormatting sqref="R5:U29">
    <cfRule type="containsText" dxfId="40" priority="7" stopIfTrue="1" operator="containsText" text="Doublon">
      <formula>NOT(ISERROR(SEARCH("Doublon",R5)))</formula>
    </cfRule>
    <cfRule type="containsText" dxfId="39" priority="8" operator="containsText" text="FAUX">
      <formula>NOT(ISERROR(SEARCH("FAUX",R5)))</formula>
    </cfRule>
    <cfRule type="containsText" dxfId="38" priority="10" operator="containsText" text="VRAI">
      <formula>NOT(ISERROR(SEARCH("VRAI",R5)))</formula>
    </cfRule>
  </conditionalFormatting>
  <conditionalFormatting sqref="V5:V29 X5:X29">
    <cfRule type="containsText" dxfId="36" priority="23" operator="containsText" text="ok">
      <formula>NOT(ISERROR(SEARCH("ok",V5)))</formula>
    </cfRule>
  </conditionalFormatting>
  <conditionalFormatting sqref="Z5:Z29">
    <cfRule type="containsText" dxfId="34" priority="5" operator="containsText" text="ok">
      <formula>NOT(ISERROR(SEARCH("ok",Z5)))</formula>
    </cfRule>
  </conditionalFormatting>
  <conditionalFormatting sqref="AB5:AB29">
    <cfRule type="expression" dxfId="33" priority="15">
      <formula>$AB5="Manque Orange"</formula>
    </cfRule>
    <cfRule type="expression" dxfId="32" priority="13">
      <formula>$AB5="Obligatoire"</formula>
    </cfRule>
    <cfRule type="expression" dxfId="31" priority="14">
      <formula>$AB5="possible"</formula>
    </cfRule>
  </conditionalFormatting>
  <pageMargins left="0.98425196850393704" right="0.98425196850393704" top="0.98425196850393704" bottom="0.98425196850393704" header="0.23622047244094491" footer="0.23622047244094491"/>
  <pageSetup scale="53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Text" priority="24" operator="notContains" id="{8E62FD74-E37A-2F4A-89CC-7055A9A60593}">
            <xm:f>ISERROR(SEARCH("ok",E32))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14:cfRule type="containsText" priority="22" stopIfTrue="1" operator="containsText" id="{C25A6C4F-49E6-9B40-A0FD-5CF2E3D8F6DE}">
            <xm:f>NOT(ISERROR(SEARCH("ok",E32)))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E32:E35</xm:sqref>
        </x14:conditionalFormatting>
        <x14:conditionalFormatting xmlns:xm="http://schemas.microsoft.com/office/excel/2006/main">
          <x14:cfRule type="notContainsText" priority="21" operator="notContains" id="{44025BB2-D85D-6B47-9D7C-FA8E08AB80F1}">
            <xm:f>ISERROR(SEARCH("ok",F39))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14:cfRule type="containsText" priority="20" stopIfTrue="1" operator="containsText" id="{EF5272C7-1DA9-1040-A23F-CBFB21895FD6}">
            <xm:f>NOT(ISERROR(SEARCH("ok",F39)))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notContainsText" priority="19" operator="notContains" id="{E83E464D-896E-0847-AC48-7056F57EC8A5}">
            <xm:f>ISERROR(SEARCH("ok",G40))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14:cfRule type="containsText" priority="18" stopIfTrue="1" operator="containsText" id="{395BC73D-1C3D-454C-A650-19E9DECAEA0C}">
            <xm:f>NOT(ISERROR(SEARCH("ok",G40)))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ontainsText" priority="16" stopIfTrue="1" operator="containsText" id="{F5E3FA74-4B67-2F48-9E46-9344263B6429}">
            <xm:f>NOT(ISERROR(SEARCH("ok",H41)))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notContainsText" priority="17" operator="notContains" id="{D731C15D-B7E2-5F4C-A1B1-9616785E1186}">
            <xm:f>ISERROR(SEARCH("ok",H41))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25" operator="containsText" id="{ABE77297-6A6D-A540-8763-86234F4050D0}">
            <xm:f>NOT(ISERROR(SEARCH("faux",V5)))</xm:f>
            <xm:f>"faux"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m:sqref>V5:V29 X5:X29</xm:sqref>
        </x14:conditionalFormatting>
        <x14:conditionalFormatting xmlns:xm="http://schemas.microsoft.com/office/excel/2006/main">
          <x14:cfRule type="containsText" priority="6" operator="containsText" id="{4E5367F9-1FA3-8F48-A7D8-A2D2C7FAA1C7}">
            <xm:f>NOT(ISERROR(SEARCH("faux",Z5)))</xm:f>
            <xm:f>"faux"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m:sqref>Z5:Z29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802DF63C-F19E-614D-A0AC-B94311E035FC}">
          <x14:formula1>
            <xm:f>'Valeurs Règlement Campagne'!$B$3:$C$3</xm:f>
          </x14:formula1>
          <xm:sqref>E5</xm:sqref>
        </x14:dataValidation>
        <x14:dataValidation type="list" allowBlank="1" showErrorMessage="1" xr:uid="{6BAF7BEB-8ADE-1B4F-9C29-58BE32BF3D6C}">
          <x14:formula1>
            <xm:f>'Valeurs Règlement Campagne'!$A$4:$A$7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HD43"/>
  <sheetViews>
    <sheetView showGridLines="0" tabSelected="1" zoomScale="81" zoomScaleNormal="75" workbookViewId="0">
      <pane xSplit="1" ySplit="4" topLeftCell="B5" activePane="bottomRight" state="frozen"/>
      <selection pane="topRight"/>
      <selection pane="bottomLeft"/>
      <selection pane="bottomRight" sqref="A1:X1"/>
    </sheetView>
  </sheetViews>
  <sheetFormatPr baseColWidth="10" defaultColWidth="16.33203125" defaultRowHeight="20" customHeight="1"/>
  <cols>
    <col min="1" max="1" width="13.5" style="65" bestFit="1" customWidth="1"/>
    <col min="2" max="2" width="35.33203125" style="65" customWidth="1"/>
    <col min="3" max="3" width="8.83203125" style="65" bestFit="1" customWidth="1"/>
    <col min="4" max="4" width="7" style="121" bestFit="1" customWidth="1"/>
    <col min="5" max="5" width="8.83203125" style="121" bestFit="1" customWidth="1"/>
    <col min="6" max="8" width="7.6640625" style="65" bestFit="1" customWidth="1"/>
    <col min="9" max="9" width="6.33203125" style="65" bestFit="1" customWidth="1"/>
    <col min="10" max="10" width="2.6640625" style="65" customWidth="1"/>
    <col min="11" max="12" width="5.5" style="65" bestFit="1" customWidth="1"/>
    <col min="13" max="13" width="5.5" style="65" customWidth="1"/>
    <col min="14" max="14" width="4.5" style="65" bestFit="1" customWidth="1"/>
    <col min="15" max="15" width="4.5" style="65" customWidth="1"/>
    <col min="16" max="16" width="5" style="65" bestFit="1" customWidth="1"/>
    <col min="17" max="17" width="5" style="65" customWidth="1"/>
    <col min="18" max="18" width="6.33203125" style="65" bestFit="1" customWidth="1"/>
    <col min="19" max="20" width="5.6640625" style="65" bestFit="1" customWidth="1"/>
    <col min="21" max="21" width="6.83203125" style="65" customWidth="1"/>
    <col min="22" max="22" width="5.5" style="65" bestFit="1" customWidth="1"/>
    <col min="23" max="23" width="4.1640625" style="65" bestFit="1" customWidth="1"/>
    <col min="24" max="24" width="4.1640625" style="64" bestFit="1" customWidth="1"/>
    <col min="25" max="27" width="4.83203125" style="64" bestFit="1" customWidth="1"/>
    <col min="28" max="28" width="9.5" style="64" bestFit="1" customWidth="1"/>
    <col min="29" max="31" width="3.1640625" style="64" bestFit="1" customWidth="1"/>
    <col min="32" max="212" width="16.33203125" style="64"/>
    <col min="213" max="16384" width="16.33203125" style="65"/>
  </cols>
  <sheetData>
    <row r="1" spans="1:31" ht="27.75" customHeight="1" thickBot="1">
      <c r="A1" s="221" t="str">
        <f>Organisateur!A1</f>
        <v>Lieu - date - numéro projet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</row>
    <row r="2" spans="1:31" ht="27.75" customHeight="1" thickBot="1">
      <c r="A2" s="222" t="s">
        <v>4</v>
      </c>
      <c r="B2" s="224" t="s">
        <v>18</v>
      </c>
      <c r="C2" s="227" t="s">
        <v>17</v>
      </c>
      <c r="D2" s="228"/>
      <c r="E2" s="231" t="s">
        <v>31</v>
      </c>
      <c r="F2" s="236" t="s">
        <v>14</v>
      </c>
      <c r="G2" s="237"/>
      <c r="H2" s="237"/>
      <c r="I2" s="238"/>
      <c r="J2" s="66"/>
      <c r="K2" s="248" t="s">
        <v>32</v>
      </c>
      <c r="L2" s="249"/>
      <c r="M2" s="249"/>
      <c r="N2" s="249"/>
      <c r="O2" s="249"/>
      <c r="P2" s="249"/>
      <c r="Q2" s="250"/>
      <c r="R2" s="242" t="s">
        <v>20</v>
      </c>
      <c r="S2" s="243"/>
      <c r="T2" s="243"/>
      <c r="U2" s="246"/>
      <c r="V2" s="242" t="s">
        <v>19</v>
      </c>
      <c r="W2" s="243"/>
      <c r="X2" s="243"/>
      <c r="Y2" s="243"/>
      <c r="Z2" s="243"/>
      <c r="AA2" s="243"/>
      <c r="AB2" s="267" t="s">
        <v>52</v>
      </c>
    </row>
    <row r="3" spans="1:31" ht="32.75" customHeight="1" thickBot="1">
      <c r="A3" s="223"/>
      <c r="B3" s="225"/>
      <c r="C3" s="229"/>
      <c r="D3" s="230"/>
      <c r="E3" s="232"/>
      <c r="F3" s="239"/>
      <c r="G3" s="240"/>
      <c r="H3" s="240"/>
      <c r="I3" s="241"/>
      <c r="J3" s="66"/>
      <c r="K3" s="67" t="s">
        <v>1</v>
      </c>
      <c r="L3" s="68" t="s">
        <v>1</v>
      </c>
      <c r="M3" s="69" t="s">
        <v>2</v>
      </c>
      <c r="N3" s="70" t="s">
        <v>2</v>
      </c>
      <c r="O3" s="71" t="s">
        <v>3</v>
      </c>
      <c r="P3" s="72" t="s">
        <v>3</v>
      </c>
      <c r="Q3" s="73" t="s">
        <v>43</v>
      </c>
      <c r="R3" s="244"/>
      <c r="S3" s="245"/>
      <c r="T3" s="245"/>
      <c r="U3" s="247"/>
      <c r="V3" s="244"/>
      <c r="W3" s="245"/>
      <c r="X3" s="245"/>
      <c r="Y3" s="245"/>
      <c r="Z3" s="245"/>
      <c r="AA3" s="245"/>
      <c r="AB3" s="268"/>
    </row>
    <row r="4" spans="1:31" ht="19.75" customHeight="1" thickBot="1">
      <c r="A4" s="223"/>
      <c r="B4" s="225"/>
      <c r="C4" s="229"/>
      <c r="D4" s="230"/>
      <c r="E4" s="233"/>
      <c r="F4" s="158" t="s">
        <v>1</v>
      </c>
      <c r="G4" s="159" t="s">
        <v>2</v>
      </c>
      <c r="H4" s="160" t="s">
        <v>3</v>
      </c>
      <c r="I4" s="161" t="s">
        <v>43</v>
      </c>
      <c r="J4" s="78"/>
      <c r="K4" s="79" t="s">
        <v>5</v>
      </c>
      <c r="L4" s="80" t="s">
        <v>6</v>
      </c>
      <c r="M4" s="79" t="s">
        <v>5</v>
      </c>
      <c r="N4" s="81" t="s">
        <v>6</v>
      </c>
      <c r="O4" s="82" t="s">
        <v>5</v>
      </c>
      <c r="P4" s="81" t="s">
        <v>6</v>
      </c>
      <c r="Q4" s="81" t="s">
        <v>6</v>
      </c>
      <c r="R4" s="67" t="s">
        <v>1</v>
      </c>
      <c r="S4" s="83" t="s">
        <v>2</v>
      </c>
      <c r="T4" s="72" t="s">
        <v>3</v>
      </c>
      <c r="U4" s="73" t="s">
        <v>43</v>
      </c>
      <c r="V4" s="84" t="s">
        <v>1</v>
      </c>
      <c r="W4" s="85" t="s">
        <v>2</v>
      </c>
      <c r="X4" s="86" t="s">
        <v>2</v>
      </c>
      <c r="Y4" s="87" t="s">
        <v>3</v>
      </c>
      <c r="Z4" s="88" t="s">
        <v>3</v>
      </c>
      <c r="AA4" s="89" t="s">
        <v>43</v>
      </c>
      <c r="AB4" s="90" t="s">
        <v>43</v>
      </c>
    </row>
    <row r="5" spans="1:31" ht="19.75" customHeight="1" thickBot="1">
      <c r="A5" s="194" t="s">
        <v>21</v>
      </c>
      <c r="B5" s="195" t="str">
        <f>IF(NOT(ISBLANK(Organisateur!B5)),Organisateur!B5," ")</f>
        <v>Près du greffe</v>
      </c>
      <c r="C5" s="226" t="str">
        <f>IF(NOT(ISBLANK(Organisateur!C5)),Organisateur!C5," ")</f>
        <v>1 cible de 60 cm</v>
      </c>
      <c r="D5" s="226"/>
      <c r="E5" s="185" t="str">
        <f>IF(NOT(ISBLANK(Organisateur!E5)),Organisateur!E5," ")</f>
        <v>Inconnues</v>
      </c>
      <c r="F5" s="196">
        <f>IF(NOT(ISBLANK(Organisateur!F5)),Organisateur!F5," ")</f>
        <v>35</v>
      </c>
      <c r="G5" s="197">
        <f>IF(NOT(ISBLANK(Organisateur!G5)),Organisateur!G5," ")</f>
        <v>30</v>
      </c>
      <c r="H5" s="198">
        <f>IF(NOT(ISBLANK(Organisateur!H5)),Organisateur!H5," ")</f>
        <v>25</v>
      </c>
      <c r="I5" s="199">
        <v>15</v>
      </c>
      <c r="J5" s="91"/>
      <c r="K5" s="204">
        <f>IF($E5=0," ",IF($E5=$D$31,VLOOKUP($C5,'Valeurs Règlement Campagne'!$A$4:$T$7,12,FALSE),VLOOKUP($C5,'Valeurs Règlement Campagne'!$A$4:$I$7,4,FALSE)))</f>
        <v>20</v>
      </c>
      <c r="L5" s="205">
        <f>IF($E5=0," ",IF($E5=$D$31,VLOOKUP($C5,'Valeurs Règlement Campagne'!$A$4:$T$7,14,FALSE),VLOOKUP($C5,'Valeurs Règlement Campagne'!$A$4:$L$7,5,FALSE)))</f>
        <v>35</v>
      </c>
      <c r="M5" s="204">
        <f>IF($E5=0," ",IF($E5=$D$31,VLOOKUP($C5,'Valeurs Règlement Campagne'!$A$4:$T$7,15,FALSE),VLOOKUP($C5,'Valeurs Règlement Campagne'!$A$4:$M$7,6,FALSE)))</f>
        <v>15</v>
      </c>
      <c r="N5" s="206">
        <f>IF($E5=0," ",IF($E5=$D$31,VLOOKUP($C5,'Valeurs Règlement Campagne'!$A$4:$T$7,17,FALSE),VLOOKUP($C5,'Valeurs Règlement Campagne'!$A$4:$N$7,7,FALSE)))</f>
        <v>30</v>
      </c>
      <c r="O5" s="207">
        <f>IF($E5=0," ",IF($E5=$D$31,VLOOKUP($C5,'Valeurs Règlement Campagne'!$A$4:$T$7,18,FALSE),VLOOKUP($C5,'Valeurs Règlement Campagne'!$A$4:$O$7,8,FALSE)))</f>
        <v>15</v>
      </c>
      <c r="P5" s="206">
        <f>IF($E5=0," ",IF($E5=$D$31,VLOOKUP($C5,'Valeurs Règlement Campagne'!$A$4:$T$7,20,FALSE),VLOOKUP($C5,'Valeurs Règlement Campagne'!$A$4:$P$7,9,FALSE)))</f>
        <v>25</v>
      </c>
      <c r="Q5" s="208">
        <f t="shared" ref="Q5:Q6" si="0">IF(LEFT(C5,1)="4","",IF(AND(C5="1 cible de 80 cm",OR(E5="Inconnues",E5="Connues")),30,P5))</f>
        <v>25</v>
      </c>
      <c r="R5" s="155" t="b" cm="1">
        <f t="array" ref="R5">IF(C5=" "," ",
IF(AND(E5="Connues",AC5&lt;&gt;"",
COUNTIFS(AC$5:AC$29,AC5,C$5:C$29,C5)&gt;1),
"Doublon",
IF(AND(E5="Connues",
SUMPRODUCT(
(E$5:E$29="Connues")*
(C$5:C$29=C5)*
(ROW($5:$29)&lt;&gt;ROW())*
(ABS(N(F$5:F$29)-N(F5))&lt;=2)*
(
(ABS(N(F$5:F$29)-N(IFERROR(VLOOKUP(C5,'Valeurs Règlement Campagne'!$A$4:$T$7,12,FALSE),0)))&lt;=2)+
(ABS(N(F$5:F$29)-N(IFERROR(VLOOKUP(C5,'Valeurs Règlement Campagne'!$A$4:$T$7,13,FALSE),0)))&lt;=2)+
(ABS(N(F$5:F$29)-N(IFERROR(VLOOKUP(C5,'Valeurs Règlement Campagne'!$A$4:$T$7,14,FALSE),0)))&lt;=2)
)
)&gt;0),
"Doublon",
IF($C5=0," ",
IF(N(F5)=0," ",
IF(E5="Inconnues",
AND(N(F5)&gt;=N(K5),N(F5)&lt;=N(L5)),
IF(AND('Valeurs Règlement Campagne'!$L$14="OUI",E5="Connues"),
AND(N(F5)&gt;=N(K5)-2,N(F5)&lt;=N(L5)+2),
OR(N(F5)=N(K5),N(F5)=N(K5)+5,N(F5)=N(L5))
)
)
)
)
)))</f>
        <v>1</v>
      </c>
      <c r="S5" s="156" t="b" cm="1">
        <f t="array" ref="S5">IF(C5=" "," ",
IF(AND(E5="Connues",AD5&lt;&gt;"",
COUNTIFS(AD$5:AD$29,AD5,C$5:C$29,C5)&gt;1),
"Doublon",
IF(AND(E5="Connues",
SUMPRODUCT(
(E$5:E$29="Connues")*
(C$5:C$29=C5)*
(ROW($5:$29)&lt;&gt;ROW())*
(ABS(N(G$5:G$29)-N(G5))&lt;=2)*
(
(ABS(N(G$5:G$29)-N(IFERROR(VLOOKUP(C5,'Valeurs Règlement Campagne'!$A$4:$T$7,15,FALSE),0)))&lt;=2)+
(ABS(N(G$5:G$29)-N(IFERROR(VLOOKUP(C5,'Valeurs Règlement Campagne'!$A$4:$T$7,16,FALSE),0)))&lt;=2)+
(ABS(N(G$5:G$29)-N(IFERROR(VLOOKUP(C5,'Valeurs Règlement Campagne'!$A$4:$T$7,17,FALSE),0)))&lt;=2)
)
)&gt;0),
"Doublon",
IF($C5=0," ",
IF(N(G5)=0," ",
IF(E5="Inconnues",
AND(N(G5)&gt;=N(M5),N(G5)&lt;=N(N5)),
IF(AND('Valeurs Règlement Campagne'!$L$14="OUI",E5="Connues"),
AND(N(G5)&gt;=N(M5)-2,N(G5)&lt;=N(N5)+2),
OR(N(G5)=N(M5),N(G5)=N(M5)+5,N(G5)=N(N5))
)
)
)
)
)))</f>
        <v>1</v>
      </c>
      <c r="T5" s="156" t="b" cm="1">
        <f t="array" ref="T5">IF(C5=" "," ",
IF(AND(E5="Connues",AE5&lt;&gt;"",
COUNTIFS(AE$5:AE$29,AE5,C$5:C$29,C5)&gt;1),
"Doublon",
IF(AND(E5="Connues",
SUMPRODUCT(
(E$5:E$29="Connues")*
(C$5:C$29=C5)*
(ROW($5:$29)&lt;&gt;ROW())*
(ABS(N(H$5:H$29)-N(H5))&lt;=2)*
(
(ABS(N(H$5:H$29)-N(IFERROR(VLOOKUP(C5,'Valeurs Règlement Campagne'!$A$4:$T$7,18,FALSE),0)))&lt;=2)+
(ABS(N(H$5:H$29)-N(IFERROR(VLOOKUP(C5,'Valeurs Règlement Campagne'!$A$4:$T$7,19,FALSE),0)))&lt;=2)+
(ABS(N(H$5:H$29)-N(IFERROR(VLOOKUP(C5,'Valeurs Règlement Campagne'!$A$4:$T$7,20,FALSE),0)))&lt;=2)
)
)&gt;0),
"Doublon",
IF($C5=0," ",
IF(N(H5)=0," ",
IF(E5="Inconnues",
AND(N(H5)&gt;=N(O5),N(H5)&lt;=N(P5)),
IF(AND('Valeurs Règlement Campagne'!$L$14="OUI",E5="Connues"),
AND(N(H5)&gt;=N(O5)-2,N(H5)&lt;=N(P5)+2),
OR(N(H5)=N(O5),N(H5)=N(O5)+5,N(H5)=N(P5))
)
)
)
)
)))</f>
        <v>1</v>
      </c>
      <c r="U5" s="157" t="b">
        <f>IF($C5=" "," ",IF(I5=" "," ",IF('Valeurs Règlement Campagne'!$L$14="OUI",AND(I5&gt;=O5-2,I5&lt;=Q5+2),OR(I5=O5,I5=O5+5,I5=Q5))))</f>
        <v>1</v>
      </c>
      <c r="V5" s="234" t="str">
        <f t="shared" ref="V5:V29" si="1">IF(OR(R5="Doublon",S5="Doublon"),"Doublon",IF(F5=" "," ",IF(F5&gt;=G5,IF(AND(R5=TRUE,S5=TRUE),"ok","faux"),"faux")))</f>
        <v>ok</v>
      </c>
      <c r="W5" s="235"/>
      <c r="X5" s="235" t="str">
        <f t="shared" ref="X5:X29" si="2">IF(OR(S5="Doublon",T5="Doublon"),"Doublon",IF(G5=" "," ",IF(G5&gt;=H5,IF(AND(S5=TRUE,T5=TRUE),"ok","faux"),"faux")))</f>
        <v>ok</v>
      </c>
      <c r="Y5" s="235"/>
      <c r="Z5" s="235" t="str">
        <f t="shared" ref="Z5:Z29" si="3">IF(OR(T5="Doublon",U5="Doublon"),"Doublon",IF(OR(H5=" ",I5=" ")," ",IF(H5&gt;=I5,IF(AND(T5=TRUE,U5=TRUE),"ok","faux"),"faux")))</f>
        <v>ok</v>
      </c>
      <c r="AA5" s="251"/>
      <c r="AB5" s="157" t="str">
        <f t="shared" ref="AB5" si="4">IF(AND(E5="Inconnues",LEFT(C5,1)="1",I5&gt;0),"Obligatoire",
IF(AND(E5="Connues",LEFT(C5,1)="1",I5&gt;0),"Possible",
IF(AND(E5="Inconnues",LEFT(C5,1)="1",I5=0),"Manque orange","")))</f>
        <v>Obligatoire</v>
      </c>
      <c r="AC5" s="100" t="str">
        <f>IF(
  E5="Connues",
  IF(
    ABS(F5 - VLOOKUP(C5,'Valeurs Règlement Campagne'!$A$4:$T$7,12,FALSE))&lt;=2,
    VLOOKUP(C5,'Valeurs Règlement Campagne'!$A$4:$T$7,12,FALSE),
    IF(
      ABS(F5 - VLOOKUP(C5,'Valeurs Règlement Campagne'!$A$4:$T$7,13,FALSE))&lt;=2,
      VLOOKUP(C5,'Valeurs Règlement Campagne'!$A$4:$T$7,13,FALSE),
      IF(
        ABS(F5 - VLOOKUP(C5,'Valeurs Règlement Campagne'!$A$4:$T$7,14,FALSE))&lt;=2,
        VLOOKUP(C5,'Valeurs Règlement Campagne'!$A$4:$T$7,14,FALSE),
        ""
      )
    )
  ),
  ""
)</f>
        <v/>
      </c>
      <c r="AD5" s="100" t="str">
        <f>IF(
  E5="Connues",
  IF(
    ABS(G5 - VLOOKUP(C5,'Valeurs Règlement Campagne'!$A$4:$T$7,15,FALSE))&lt;=2,
    VLOOKUP(C5,'Valeurs Règlement Campagne'!$A$4:$T$7,15,FALSE),
    IF(
      ABS(G5 - VLOOKUP(C5,'Valeurs Règlement Campagne'!$A$4:$T$7,16,FALSE))&lt;=2,
      VLOOKUP(C5,'Valeurs Règlement Campagne'!$A$4:$T$7,16,FALSE),
      IF(
        ABS(G5 - VLOOKUP(C5,'Valeurs Règlement Campagne'!$A$4:$T$7,17,FALSE))&lt;=2,
        VLOOKUP(C5,'Valeurs Règlement Campagne'!$A$4:$T$7,17,FALSE),
        ""
      )
    )
  ),
  ""
)</f>
        <v/>
      </c>
      <c r="AE5" s="100" t="str">
        <f>IF(
  E5="Connues",
  IF(
    ABS(H5 - VLOOKUP(C5,'Valeurs Règlement Campagne'!$A$4:$T$7,15,FALSE))&lt;=2,
    VLOOKUP(C5,'Valeurs Règlement Campagne'!$A$4:$T$7,15,FALSE),
    IF(
      ABS(H5 - VLOOKUP(C5,'Valeurs Règlement Campagne'!$A$4:$T$7,16,FALSE))&lt;=2,
      VLOOKUP(C5,'Valeurs Règlement Campagne'!$A$4:$T$7,16,FALSE),
      IF(
        ABS(H5 - VLOOKUP(C5,'Valeurs Règlement Campagne'!$A$4:$T$7,17,FALSE))&lt;=2,
        VLOOKUP(C5,'Valeurs Règlement Campagne'!$A$4:$T$7,17,FALSE),
        ""
      )
    )
  ),
  ""
)</f>
        <v/>
      </c>
    </row>
    <row r="6" spans="1:31" ht="20.75" customHeight="1">
      <c r="A6" s="212">
        <v>1</v>
      </c>
      <c r="B6" s="215" t="str">
        <f>IF(NOT(ISBLANK(Organisateur!B6)),Organisateur!B6," ")</f>
        <v xml:space="preserve"> </v>
      </c>
      <c r="C6" s="253" t="str">
        <f>IF(NOT(ISBLANK(Organisateur!C6)),Organisateur!C6," ")</f>
        <v xml:space="preserve"> </v>
      </c>
      <c r="D6" s="253"/>
      <c r="E6" s="209" t="str">
        <f>IF(NOT(ISBLANK(Organisateur!E6)),Organisateur!E6," ")</f>
        <v xml:space="preserve"> </v>
      </c>
      <c r="F6" s="182" t="str">
        <f>IF(NOT(ISBLANK(Organisateur!F6)),Organisateur!F6," ")</f>
        <v xml:space="preserve"> </v>
      </c>
      <c r="G6" s="182" t="str">
        <f>IF(NOT(ISBLANK(Organisateur!G6)),Organisateur!G6," ")</f>
        <v xml:space="preserve"> </v>
      </c>
      <c r="H6" s="182" t="str">
        <f>IF(NOT(ISBLANK(Organisateur!H6)),Organisateur!H6," ")</f>
        <v xml:space="preserve"> </v>
      </c>
      <c r="I6" s="182" t="str">
        <f>IF(NOT(ISBLANK(Organisateur!I6)),Organisateur!I6," ")</f>
        <v xml:space="preserve"> </v>
      </c>
      <c r="J6" s="101"/>
      <c r="K6" s="102" t="str">
        <f>IF($E6=" "," ",IF($E6=$D$31,VLOOKUP($C6,'Valeurs Règlement Campagne'!$A$4:$T$7,12,FALSE),VLOOKUP($C6,'Valeurs Règlement Campagne'!$A$4:$I$7,4,FALSE)))</f>
        <v xml:space="preserve"> </v>
      </c>
      <c r="L6" s="103" t="str">
        <f>IF($E6=" "," ",IF($E6=$D$31,VLOOKUP($C6,'Valeurs Règlement Campagne'!$A$4:$T$7,14,FALSE),VLOOKUP($C6,'Valeurs Règlement Campagne'!$A$4:$L$7,5,FALSE)))</f>
        <v xml:space="preserve"> </v>
      </c>
      <c r="M6" s="102" t="str">
        <f>IF($E6=" "," ",IF($E6=$D$31,VLOOKUP($C6,'Valeurs Règlement Campagne'!$A$4:$T$7,15,FALSE),VLOOKUP($C6,'Valeurs Règlement Campagne'!$A$4:$M$7,6,FALSE)))</f>
        <v xml:space="preserve"> </v>
      </c>
      <c r="N6" s="103" t="str">
        <f>IF($E6=" "," ",IF($E6=$D$31,VLOOKUP($C6,'Valeurs Règlement Campagne'!$A$4:$T$7,17,FALSE),VLOOKUP($C6,'Valeurs Règlement Campagne'!$A$4:$N$7,7,FALSE)))</f>
        <v xml:space="preserve"> </v>
      </c>
      <c r="O6" s="102" t="str">
        <f>IF($E6=" "," ",IF($E6=$D$31,VLOOKUP($C6,'Valeurs Règlement Campagne'!$A$4:$T$7,18,FALSE),VLOOKUP($C6,'Valeurs Règlement Campagne'!$A$4:$O$7,8,FALSE)))</f>
        <v xml:space="preserve"> </v>
      </c>
      <c r="P6" s="200" t="str">
        <f>IF($E6=" "," ",IF($E6=$D$31,VLOOKUP($C6,'Valeurs Règlement Campagne'!$A$4:$T$7,20,FALSE),VLOOKUP($C6,'Valeurs Règlement Campagne'!$A$4:$P$7,9,FALSE)))</f>
        <v xml:space="preserve"> </v>
      </c>
      <c r="Q6" s="103" t="str">
        <f t="shared" si="0"/>
        <v xml:space="preserve"> </v>
      </c>
      <c r="R6" s="201" t="str" cm="1">
        <f t="array" ref="R6">IF(C6=" "," ",
IF(AND(E6="Connues",AC6&lt;&gt;"",
COUNTIFS(AC$5:AC$29,AC6,C$5:C$29,C6)&gt;1),
"Doublon",
IF(AND(E6="Connues",
SUMPRODUCT(
(E$5:E$29="Connues")*
(C$5:C$29=C6)*
(ROW($5:$29)&lt;&gt;ROW())*
(ABS(N(F$5:F$29)-N(F6))&lt;=2)*
(
(ABS(N(F$5:F$29)-N(IFERROR(VLOOKUP(C6,'Valeurs Règlement Campagne'!$A$4:$T$7,12,FALSE),0)))&lt;=2)+
(ABS(N(F$5:F$29)-N(IFERROR(VLOOKUP(C6,'Valeurs Règlement Campagne'!$A$4:$T$7,13,FALSE),0)))&lt;=2)+
(ABS(N(F$5:F$29)-N(IFERROR(VLOOKUP(C6,'Valeurs Règlement Campagne'!$A$4:$T$7,14,FALSE),0)))&lt;=2)
)
)&gt;0),
"Doublon",
IF($C6=0," ",
IF(N(F6)=0," ",
IF(E6="Inconnues",
AND(N(F6)&gt;=N(K6),N(F6)&lt;=N(L6)),
IF(AND('Valeurs Règlement Campagne'!$L$14="OUI",E6="Connues"),
AND(N(F6)&gt;=N(K6)-2,N(F6)&lt;=N(L6)+2),
OR(N(F6)=N(K6),N(F6)=N(K6)+5,N(F6)=N(L6))
)
)
)
)
)))</f>
        <v xml:space="preserve"> </v>
      </c>
      <c r="S6" s="202" t="str" cm="1">
        <f t="array" ref="S6">IF(C6=" "," ",
IF(AND(E6="Connues",AD6&lt;&gt;"",
COUNTIFS(AD$5:AD$29,AD6,C$5:C$29,C6)&gt;1),
"Doublon",
IF(AND(E6="Connues",
SUMPRODUCT(
(E$5:E$29="Connues")*
(C$5:C$29=C6)*
(ROW($5:$29)&lt;&gt;ROW())*
(ABS(N(G$5:G$29)-N(G6))&lt;=2)*
(
(ABS(N(G$5:G$29)-N(IFERROR(VLOOKUP(C6,'Valeurs Règlement Campagne'!$A$4:$T$7,15,FALSE),0)))&lt;=2)+
(ABS(N(G$5:G$29)-N(IFERROR(VLOOKUP(C6,'Valeurs Règlement Campagne'!$A$4:$T$7,16,FALSE),0)))&lt;=2)+
(ABS(N(G$5:G$29)-N(IFERROR(VLOOKUP(C6,'Valeurs Règlement Campagne'!$A$4:$T$7,17,FALSE),0)))&lt;=2)
)
)&gt;0),
"Doublon",
IF($C6=0," ",
IF(N(G6)=0," ",
IF(E6="Inconnues",
AND(N(G6)&gt;=N(M6),N(G6)&lt;=N(N6)),
IF(AND('Valeurs Règlement Campagne'!$L$14="OUI",E6="Connues"),
AND(N(G6)&gt;=N(M6)-2,N(G6)&lt;=N(N6)+2),
OR(N(G6)=N(M6),N(G6)=N(M6)+5,N(G6)=N(N6))
)
)
)
)
)))</f>
        <v xml:space="preserve"> </v>
      </c>
      <c r="T6" s="202" t="str" cm="1">
        <f t="array" ref="T6">IF(C6=" "," ",
IF(AND(E6="Connues",AE6&lt;&gt;"",
COUNTIFS(AE$5:AE$29,AE6,C$5:C$29,C6)&gt;1),
"Doublon",
IF(AND(E6="Connues",
SUMPRODUCT(
(E$5:E$29="Connues")*
(C$5:C$29=C6)*
(ROW($5:$29)&lt;&gt;ROW())*
(ABS(N(H$5:H$29)-N(H6))&lt;=2)*
(
(ABS(N(H$5:H$29)-N(IFERROR(VLOOKUP(C6,'Valeurs Règlement Campagne'!$A$4:$T$7,18,FALSE),0)))&lt;=2)+
(ABS(N(H$5:H$29)-N(IFERROR(VLOOKUP(C6,'Valeurs Règlement Campagne'!$A$4:$T$7,19,FALSE),0)))&lt;=2)+
(ABS(N(H$5:H$29)-N(IFERROR(VLOOKUP(C6,'Valeurs Règlement Campagne'!$A$4:$T$7,20,FALSE),0)))&lt;=2)
)
)&gt;0),
"Doublon",
IF($C6=0," ",
IF(N(H6)=0," ",
IF(E6="Inconnues",
AND(N(H6)&gt;=N(O6),N(H6)&lt;=N(P6)),
IF(AND('Valeurs Règlement Campagne'!$L$14="OUI",E6="Connues"),
AND(N(H6)&gt;=N(O6)-2,N(H6)&lt;=N(P6)+2),
OR(N(H6)=N(O6),N(H6)=N(O6)+5,N(H6)=N(P6))
)
)
)
)
)))</f>
        <v xml:space="preserve"> </v>
      </c>
      <c r="U6" s="203" t="str">
        <f>IF($C6=" "," ",IF(I6=" "," ",IF('Valeurs Règlement Campagne'!$L$14="OUI",AND(I6&gt;=O6-2,I6&lt;=Q6+2),OR(I6=O6,I6=O6+5,I6=Q6))))</f>
        <v xml:space="preserve"> </v>
      </c>
      <c r="V6" s="220" t="str">
        <f t="shared" si="1"/>
        <v xml:space="preserve"> </v>
      </c>
      <c r="W6" s="218"/>
      <c r="X6" s="218" t="str">
        <f t="shared" si="2"/>
        <v xml:space="preserve"> </v>
      </c>
      <c r="Y6" s="218"/>
      <c r="Z6" s="218" t="str">
        <f t="shared" si="3"/>
        <v xml:space="preserve"> </v>
      </c>
      <c r="AA6" s="252"/>
      <c r="AB6" s="110" t="str">
        <f t="shared" ref="AB6" si="5">IF(AND(E6="Inconnues",LEFT(C6,1)="1",I6&gt;0),"Obligatoire",
IF(AND(E6="Connues",LEFT(C6,1)="1",I6&gt;0),"Possible",
IF(AND(E6="Inconnues",LEFT(C6,1)="1",I6=0),"Manque orange","")))</f>
        <v/>
      </c>
      <c r="AC6" s="100" t="str">
        <f>IF(
  E6="Connues",
  IF(
    ABS(F6 - VLOOKUP(C6,'Valeurs Règlement Campagne'!$A$4:$T$7,12,FALSE))&lt;=2,
    VLOOKUP(C6,'Valeurs Règlement Campagne'!$A$4:$T$7,12,FALSE),
    IF(
      ABS(F6 - VLOOKUP(C6,'Valeurs Règlement Campagne'!$A$4:$T$7,13,FALSE))&lt;=2,
      VLOOKUP(C6,'Valeurs Règlement Campagne'!$A$4:$T$7,13,FALSE),
      IF(
        ABS(F6 - VLOOKUP(C6,'Valeurs Règlement Campagne'!$A$4:$T$7,14,FALSE))&lt;=2,
        VLOOKUP(C6,'Valeurs Règlement Campagne'!$A$4:$T$7,14,FALSE),
        ""
      )
    )
  ),
  ""
)</f>
        <v/>
      </c>
      <c r="AD6" s="100" t="str">
        <f>IF(
  E6="Connues",
  IF(
    ABS(G6 - VLOOKUP(C6,'Valeurs Règlement Campagne'!$A$4:$T$7,15,FALSE))&lt;=2,
    VLOOKUP(C6,'Valeurs Règlement Campagne'!$A$4:$T$7,15,FALSE),
    IF(
      ABS(G6 - VLOOKUP(C6,'Valeurs Règlement Campagne'!$A$4:$T$7,16,FALSE))&lt;=2,
      VLOOKUP(C6,'Valeurs Règlement Campagne'!$A$4:$T$7,16,FALSE),
      IF(
        ABS(G6 - VLOOKUP(C6,'Valeurs Règlement Campagne'!$A$4:$T$7,17,FALSE))&lt;=2,
        VLOOKUP(C6,'Valeurs Règlement Campagne'!$A$4:$T$7,17,FALSE),
        ""
      )
    )
  ),
  ""
)</f>
        <v/>
      </c>
      <c r="AE6" s="100" t="str">
        <f>IF(
  E6="Connues",
  IF(
    ABS(H6 - VLOOKUP(C6,'Valeurs Règlement Campagne'!$A$4:$T$7,15,FALSE))&lt;=2,
    VLOOKUP(C6,'Valeurs Règlement Campagne'!$A$4:$T$7,15,FALSE),
    IF(
      ABS(H6 - VLOOKUP(C6,'Valeurs Règlement Campagne'!$A$4:$T$7,16,FALSE))&lt;=2,
      VLOOKUP(C6,'Valeurs Règlement Campagne'!$A$4:$T$7,16,FALSE),
      IF(
        ABS(H6 - VLOOKUP(C6,'Valeurs Règlement Campagne'!$A$4:$T$7,17,FALSE))&lt;=2,
        VLOOKUP(C6,'Valeurs Règlement Campagne'!$A$4:$T$7,17,FALSE),
        ""
      )
    )
  ),
  ""
)</f>
        <v/>
      </c>
    </row>
    <row r="7" spans="1:31" ht="20.75" customHeight="1">
      <c r="A7" s="213">
        <v>2</v>
      </c>
      <c r="B7" s="216" t="str">
        <f>IF(NOT(ISBLANK(Organisateur!B7)),Organisateur!B7," ")</f>
        <v xml:space="preserve"> </v>
      </c>
      <c r="C7" s="254" t="str">
        <f>IF(NOT(ISBLANK(Organisateur!C7)),Organisateur!C7," ")</f>
        <v xml:space="preserve"> </v>
      </c>
      <c r="D7" s="254"/>
      <c r="E7" s="210" t="str">
        <f>IF(NOT(ISBLANK(Organisateur!E7)),Organisateur!E7," ")</f>
        <v xml:space="preserve"> </v>
      </c>
      <c r="F7" s="183" t="str">
        <f>IF(NOT(ISBLANK(Organisateur!F7)),Organisateur!F7," ")</f>
        <v xml:space="preserve"> </v>
      </c>
      <c r="G7" s="183" t="str">
        <f>IF(NOT(ISBLANK(Organisateur!G7)),Organisateur!G7," ")</f>
        <v xml:space="preserve"> </v>
      </c>
      <c r="H7" s="183" t="str">
        <f>IF(NOT(ISBLANK(Organisateur!H7)),Organisateur!H7," ")</f>
        <v xml:space="preserve"> </v>
      </c>
      <c r="I7" s="183" t="str">
        <f>IF(NOT(ISBLANK(Organisateur!I7)),Organisateur!I7," ")</f>
        <v xml:space="preserve"> </v>
      </c>
      <c r="J7" s="101"/>
      <c r="K7" s="102" t="str">
        <f>IF($E7=" "," ",IF($E7=$D$31,VLOOKUP($C7,'Valeurs Règlement Campagne'!$A$4:$T$7,12,FALSE),VLOOKUP($C7,'Valeurs Règlement Campagne'!$A$4:$I$7,4,FALSE)))</f>
        <v xml:space="preserve"> </v>
      </c>
      <c r="L7" s="103" t="str">
        <f>IF($E7=" "," ",IF($E7=$D$31,VLOOKUP($C7,'Valeurs Règlement Campagne'!$A$4:$T$7,14,FALSE),VLOOKUP($C7,'Valeurs Règlement Campagne'!$A$4:$L$7,5,FALSE)))</f>
        <v xml:space="preserve"> </v>
      </c>
      <c r="M7" s="102" t="str">
        <f>IF($E7=" "," ",IF($E7=$D$31,VLOOKUP($C7,'Valeurs Règlement Campagne'!$A$4:$T$7,15,FALSE),VLOOKUP($C7,'Valeurs Règlement Campagne'!$A$4:$M$7,6,FALSE)))</f>
        <v xml:space="preserve"> </v>
      </c>
      <c r="N7" s="103" t="str">
        <f>IF($E7=" "," ",IF($E7=$D$31,VLOOKUP($C7,'Valeurs Règlement Campagne'!$A$4:$T$7,17,FALSE),VLOOKUP($C7,'Valeurs Règlement Campagne'!$A$4:$N$7,7,FALSE)))</f>
        <v xml:space="preserve"> </v>
      </c>
      <c r="O7" s="187" t="str">
        <f>IF($E7=" "," ",IF($E7=$D$31,VLOOKUP($C7,'Valeurs Règlement Campagne'!$A$4:$T$7,18,FALSE),VLOOKUP($C7,'Valeurs Règlement Campagne'!$A$4:$O$7,8,FALSE)))</f>
        <v xml:space="preserve"> </v>
      </c>
      <c r="P7" s="186" t="str">
        <f>IF($E7=" "," ",IF($E7=$D$31,VLOOKUP($C7,'Valeurs Règlement Campagne'!$A$4:$T$7,20,FALSE),VLOOKUP($C7,'Valeurs Règlement Campagne'!$A$4:$P$7,9,FALSE)))</f>
        <v xml:space="preserve"> </v>
      </c>
      <c r="Q7" s="190" t="str">
        <f t="shared" ref="Q7:Q29" si="6">IF(LEFT(C7,1)="4","",IF(AND(C7="1 cible de 80 cm",OR(E7="Inconnues",E7="Connues")),30,P7))</f>
        <v xml:space="preserve"> </v>
      </c>
      <c r="R7" s="112" t="str" cm="1">
        <f t="array" ref="R7">IF(C7=" "," ",
IF(AND(E7="Connues",AC7&lt;&gt;"",
COUNTIFS(AC$5:AC$29,AC7,C$5:C$29,C7)&gt;1),
"Doublon",
IF(AND(E7="Connues",
SUMPRODUCT(
(E$5:E$29="Connues")*
(C$5:C$29=C7)*
(ROW($5:$29)&lt;&gt;ROW())*
(ABS(N(F$5:F$29)-N(F7))&lt;=2)*
(
(ABS(N(F$5:F$29)-N(IFERROR(VLOOKUP(C7,'Valeurs Règlement Campagne'!$A$4:$T$7,12,FALSE),0)))&lt;=2)+
(ABS(N(F$5:F$29)-N(IFERROR(VLOOKUP(C7,'Valeurs Règlement Campagne'!$A$4:$T$7,13,FALSE),0)))&lt;=2)+
(ABS(N(F$5:F$29)-N(IFERROR(VLOOKUP(C7,'Valeurs Règlement Campagne'!$A$4:$T$7,14,FALSE),0)))&lt;=2)
)
)&gt;0),
"Doublon",
IF($C7=0," ",
IF(N(F7)=0," ",
IF(E7="Inconnues",
AND(N(F7)&gt;=N(K7),N(F7)&lt;=N(L7)),
IF(AND('Valeurs Règlement Campagne'!$L$14="OUI",E7="Connues"),
AND(N(F7)&gt;=N(K7)-2,N(F7)&lt;=N(L7)+2),
OR(N(F7)=N(K7),N(F7)=N(K7)+5,N(F7)=N(L7))
)
)
)
)
)))</f>
        <v xml:space="preserve"> </v>
      </c>
      <c r="S7" s="113" t="str" cm="1">
        <f t="array" ref="S7">IF(C7=" "," ",
IF(AND(E7="Connues",AD7&lt;&gt;"",
COUNTIFS(AD$5:AD$29,AD7,C$5:C$29,C7)&gt;1),
"Doublon",
IF(AND(E7="Connues",
SUMPRODUCT(
(E$5:E$29="Connues")*
(C$5:C$29=C7)*
(ROW($5:$29)&lt;&gt;ROW())*
(ABS(N(G$5:G$29)-N(G7))&lt;=2)*
(
(ABS(N(G$5:G$29)-N(IFERROR(VLOOKUP(C7,'Valeurs Règlement Campagne'!$A$4:$T$7,15,FALSE),0)))&lt;=2)+
(ABS(N(G$5:G$29)-N(IFERROR(VLOOKUP(C7,'Valeurs Règlement Campagne'!$A$4:$T$7,16,FALSE),0)))&lt;=2)+
(ABS(N(G$5:G$29)-N(IFERROR(VLOOKUP(C7,'Valeurs Règlement Campagne'!$A$4:$T$7,17,FALSE),0)))&lt;=2)
)
)&gt;0),
"Doublon",
IF($C7=0," ",
IF(N(G7)=0," ",
IF(E7="Inconnues",
AND(N(G7)&gt;=N(M7),N(G7)&lt;=N(N7)),
IF(AND('Valeurs Règlement Campagne'!$L$14="OUI",E7="Connues"),
AND(N(G7)&gt;=N(M7)-2,N(G7)&lt;=N(N7)+2),
OR(N(G7)=N(M7),N(G7)=N(M7)+5,N(G7)=N(N7))
)
)
)
)
)))</f>
        <v xml:space="preserve"> </v>
      </c>
      <c r="T7" s="113" t="str" cm="1">
        <f t="array" ref="T7">IF(C7=" "," ",
IF(AND(E7="Connues",AE7&lt;&gt;"",
COUNTIFS(AE$5:AE$29,AE7,C$5:C$29,C7)&gt;1),
"Doublon",
IF(AND(E7="Connues",
SUMPRODUCT(
(E$5:E$29="Connues")*
(C$5:C$29=C7)*
(ROW($5:$29)&lt;&gt;ROW())*
(ABS(N(H$5:H$29)-N(H7))&lt;=2)*
(
(ABS(N(H$5:H$29)-N(IFERROR(VLOOKUP(C7,'Valeurs Règlement Campagne'!$A$4:$T$7,18,FALSE),0)))&lt;=2)+
(ABS(N(H$5:H$29)-N(IFERROR(VLOOKUP(C7,'Valeurs Règlement Campagne'!$A$4:$T$7,19,FALSE),0)))&lt;=2)+
(ABS(N(H$5:H$29)-N(IFERROR(VLOOKUP(C7,'Valeurs Règlement Campagne'!$A$4:$T$7,20,FALSE),0)))&lt;=2)
)
)&gt;0),
"Doublon",
IF($C7=0," ",
IF(N(H7)=0," ",
IF(E7="Inconnues",
AND(N(H7)&gt;=N(O7),N(H7)&lt;=N(P7)),
IF(AND('Valeurs Règlement Campagne'!$L$14="OUI",E7="Connues"),
AND(N(H7)&gt;=N(O7)-2,N(H7)&lt;=N(P7)+2),
OR(N(H7)=N(O7),N(H7)=N(O7)+5,N(H7)=N(P7))
)
)
)
)
)))</f>
        <v xml:space="preserve"> </v>
      </c>
      <c r="U7" s="192" t="str">
        <f>IF($C7=" "," ",IF(I7=" "," ",IF('Valeurs Règlement Campagne'!$L$14="OUI",AND(I7&gt;=O7-2,I7&lt;=Q7+2),OR(I7=O7,I7=O7+5,I7=Q7))))</f>
        <v xml:space="preserve"> </v>
      </c>
      <c r="V7" s="220" t="str">
        <f t="shared" si="1"/>
        <v xml:space="preserve"> </v>
      </c>
      <c r="W7" s="218"/>
      <c r="X7" s="218" t="str">
        <f t="shared" si="2"/>
        <v xml:space="preserve"> </v>
      </c>
      <c r="Y7" s="218"/>
      <c r="Z7" s="218" t="str">
        <f t="shared" si="3"/>
        <v xml:space="preserve"> </v>
      </c>
      <c r="AA7" s="252"/>
      <c r="AB7" s="110" t="str">
        <f t="shared" ref="AB7:AB29" si="7">IF(AND(E7="Inconnues",LEFT(C7,1)="1",I7&gt;0),"Obligatoire",
IF(AND(E7="Connues",LEFT(C7,1)="1",I7&gt;0),"Possible",
IF(AND(E7="Inconnues",LEFT(C7,1)="1",I7=0),"Manque orange","")))</f>
        <v/>
      </c>
      <c r="AC7" s="100" t="str">
        <f>IF(
  E7="Connues",
  IF(
    ABS(F7 - VLOOKUP(C7,'Valeurs Règlement Campagne'!$A$4:$T$7,12,FALSE))&lt;=2,
    VLOOKUP(C7,'Valeurs Règlement Campagne'!$A$4:$T$7,12,FALSE),
    IF(
      ABS(F7 - VLOOKUP(C7,'Valeurs Règlement Campagne'!$A$4:$T$7,13,FALSE))&lt;=2,
      VLOOKUP(C7,'Valeurs Règlement Campagne'!$A$4:$T$7,13,FALSE),
      IF(
        ABS(F7 - VLOOKUP(C7,'Valeurs Règlement Campagne'!$A$4:$T$7,14,FALSE))&lt;=2,
        VLOOKUP(C7,'Valeurs Règlement Campagne'!$A$4:$T$7,14,FALSE),
        ""
      )
    )
  ),
  ""
)</f>
        <v/>
      </c>
      <c r="AD7" s="100" t="str">
        <f>IF(
  E7="Connues",
  IF(
    ABS(G7 - VLOOKUP(C7,'Valeurs Règlement Campagne'!$A$4:$T$7,15,FALSE))&lt;=2,
    VLOOKUP(C7,'Valeurs Règlement Campagne'!$A$4:$T$7,15,FALSE),
    IF(
      ABS(G7 - VLOOKUP(C7,'Valeurs Règlement Campagne'!$A$4:$T$7,16,FALSE))&lt;=2,
      VLOOKUP(C7,'Valeurs Règlement Campagne'!$A$4:$T$7,16,FALSE),
      IF(
        ABS(G7 - VLOOKUP(C7,'Valeurs Règlement Campagne'!$A$4:$T$7,17,FALSE))&lt;=2,
        VLOOKUP(C7,'Valeurs Règlement Campagne'!$A$4:$T$7,17,FALSE),
        ""
      )
    )
  ),
  ""
)</f>
        <v/>
      </c>
      <c r="AE7" s="100" t="str">
        <f>IF(
  E7="Connues",
  IF(
    ABS(H7 - VLOOKUP(C7,'Valeurs Règlement Campagne'!$A$4:$T$7,15,FALSE))&lt;=2,
    VLOOKUP(C7,'Valeurs Règlement Campagne'!$A$4:$T$7,15,FALSE),
    IF(
      ABS(H7 - VLOOKUP(C7,'Valeurs Règlement Campagne'!$A$4:$T$7,16,FALSE))&lt;=2,
      VLOOKUP(C7,'Valeurs Règlement Campagne'!$A$4:$T$7,16,FALSE),
      IF(
        ABS(H7 - VLOOKUP(C7,'Valeurs Règlement Campagne'!$A$4:$T$7,17,FALSE))&lt;=2,
        VLOOKUP(C7,'Valeurs Règlement Campagne'!$A$4:$T$7,17,FALSE),
        ""
      )
    )
  ),
  ""
)</f>
        <v/>
      </c>
    </row>
    <row r="8" spans="1:31" ht="20.75" customHeight="1">
      <c r="A8" s="213">
        <v>3</v>
      </c>
      <c r="B8" s="216" t="str">
        <f>IF(NOT(ISBLANK(Organisateur!B8)),Organisateur!B8," ")</f>
        <v xml:space="preserve"> </v>
      </c>
      <c r="C8" s="254" t="str">
        <f>IF(NOT(ISBLANK(Organisateur!C8)),Organisateur!C8," ")</f>
        <v xml:space="preserve"> </v>
      </c>
      <c r="D8" s="254"/>
      <c r="E8" s="210" t="str">
        <f>IF(NOT(ISBLANK(Organisateur!E8)),Organisateur!E8," ")</f>
        <v xml:space="preserve"> </v>
      </c>
      <c r="F8" s="183" t="str">
        <f>IF(NOT(ISBLANK(Organisateur!F8)),Organisateur!F8," ")</f>
        <v xml:space="preserve"> </v>
      </c>
      <c r="G8" s="183" t="str">
        <f>IF(NOT(ISBLANK(Organisateur!G8)),Organisateur!G8," ")</f>
        <v xml:space="preserve"> </v>
      </c>
      <c r="H8" s="183" t="str">
        <f>IF(NOT(ISBLANK(Organisateur!H8)),Organisateur!H8," ")</f>
        <v xml:space="preserve"> </v>
      </c>
      <c r="I8" s="183" t="str">
        <f>IF(NOT(ISBLANK(Organisateur!I8)),Organisateur!I8," ")</f>
        <v xml:space="preserve"> </v>
      </c>
      <c r="J8" s="101"/>
      <c r="K8" s="102" t="str">
        <f>IF($E8=" "," ",IF($E8=$D$31,VLOOKUP($C8,'Valeurs Règlement Campagne'!$A$4:$T$7,12,FALSE),VLOOKUP($C8,'Valeurs Règlement Campagne'!$A$4:$I$7,4,FALSE)))</f>
        <v xml:space="preserve"> </v>
      </c>
      <c r="L8" s="103" t="str">
        <f>IF($E8=" "," ",IF($E8=$D$31,VLOOKUP($C8,'Valeurs Règlement Campagne'!$A$4:$T$7,14,FALSE),VLOOKUP($C8,'Valeurs Règlement Campagne'!$A$4:$L$7,5,FALSE)))</f>
        <v xml:space="preserve"> </v>
      </c>
      <c r="M8" s="102" t="str">
        <f>IF($E8=" "," ",IF($E8=$D$31,VLOOKUP($C8,'Valeurs Règlement Campagne'!$A$4:$T$7,15,FALSE),VLOOKUP($C8,'Valeurs Règlement Campagne'!$A$4:$M$7,6,FALSE)))</f>
        <v xml:space="preserve"> </v>
      </c>
      <c r="N8" s="103" t="str">
        <f>IF($E8=" "," ",IF($E8=$D$31,VLOOKUP($C8,'Valeurs Règlement Campagne'!$A$4:$T$7,17,FALSE),VLOOKUP($C8,'Valeurs Règlement Campagne'!$A$4:$N$7,7,FALSE)))</f>
        <v xml:space="preserve"> </v>
      </c>
      <c r="O8" s="187" t="str">
        <f>IF($E8=" "," ",IF($E8=$D$31,VLOOKUP($C8,'Valeurs Règlement Campagne'!$A$4:$T$7,18,FALSE),VLOOKUP($C8,'Valeurs Règlement Campagne'!$A$4:$O$7,8,FALSE)))</f>
        <v xml:space="preserve"> </v>
      </c>
      <c r="P8" s="186" t="str">
        <f>IF($E8=" "," ",IF($E8=$D$31,VLOOKUP($C8,'Valeurs Règlement Campagne'!$A$4:$T$7,20,FALSE),VLOOKUP($C8,'Valeurs Règlement Campagne'!$A$4:$P$7,9,FALSE)))</f>
        <v xml:space="preserve"> </v>
      </c>
      <c r="Q8" s="190" t="str">
        <f t="shared" si="6"/>
        <v xml:space="preserve"> </v>
      </c>
      <c r="R8" s="112" t="str" cm="1">
        <f t="array" ref="R8">IF(C8=" "," ",
IF(AND(E8="Connues",AC8&lt;&gt;"",
COUNTIFS(AC$5:AC$29,AC8,C$5:C$29,C8)&gt;1),
"Doublon",
IF(AND(E8="Connues",
SUMPRODUCT(
(E$5:E$29="Connues")*
(C$5:C$29=C8)*
(ROW($5:$29)&lt;&gt;ROW())*
(ABS(N(F$5:F$29)-N(F8))&lt;=2)*
(
(ABS(N(F$5:F$29)-N(IFERROR(VLOOKUP(C8,'Valeurs Règlement Campagne'!$A$4:$T$7,12,FALSE),0)))&lt;=2)+
(ABS(N(F$5:F$29)-N(IFERROR(VLOOKUP(C8,'Valeurs Règlement Campagne'!$A$4:$T$7,13,FALSE),0)))&lt;=2)+
(ABS(N(F$5:F$29)-N(IFERROR(VLOOKUP(C8,'Valeurs Règlement Campagne'!$A$4:$T$7,14,FALSE),0)))&lt;=2)
)
)&gt;0),
"Doublon",
IF($C8=0," ",
IF(N(F8)=0," ",
IF(E8="Inconnues",
AND(N(F8)&gt;=N(K8),N(F8)&lt;=N(L8)),
IF(AND('Valeurs Règlement Campagne'!$L$14="OUI",E8="Connues"),
AND(N(F8)&gt;=N(K8)-2,N(F8)&lt;=N(L8)+2),
OR(N(F8)=N(K8),N(F8)=N(K8)+5,N(F8)=N(L8))
)
)
)
)
)))</f>
        <v xml:space="preserve"> </v>
      </c>
      <c r="S8" s="113" t="str" cm="1">
        <f t="array" ref="S8">IF(C8=" "," ",
IF(AND(E8="Connues",AD8&lt;&gt;"",
COUNTIFS(AD$5:AD$29,AD8,C$5:C$29,C8)&gt;1),
"Doublon",
IF(AND(E8="Connues",
SUMPRODUCT(
(E$5:E$29="Connues")*
(C$5:C$29=C8)*
(ROW($5:$29)&lt;&gt;ROW())*
(ABS(N(G$5:G$29)-N(G8))&lt;=2)*
(
(ABS(N(G$5:G$29)-N(IFERROR(VLOOKUP(C8,'Valeurs Règlement Campagne'!$A$4:$T$7,15,FALSE),0)))&lt;=2)+
(ABS(N(G$5:G$29)-N(IFERROR(VLOOKUP(C8,'Valeurs Règlement Campagne'!$A$4:$T$7,16,FALSE),0)))&lt;=2)+
(ABS(N(G$5:G$29)-N(IFERROR(VLOOKUP(C8,'Valeurs Règlement Campagne'!$A$4:$T$7,17,FALSE),0)))&lt;=2)
)
)&gt;0),
"Doublon",
IF($C8=0," ",
IF(N(G8)=0," ",
IF(E8="Inconnues",
AND(N(G8)&gt;=N(M8),N(G8)&lt;=N(N8)),
IF(AND('Valeurs Règlement Campagne'!$L$14="OUI",E8="Connues"),
AND(N(G8)&gt;=N(M8)-2,N(G8)&lt;=N(N8)+2),
OR(N(G8)=N(M8),N(G8)=N(M8)+5,N(G8)=N(N8))
)
)
)
)
)))</f>
        <v xml:space="preserve"> </v>
      </c>
      <c r="T8" s="113" t="str" cm="1">
        <f t="array" ref="T8">IF(C8=" "," ",
IF(AND(E8="Connues",AE8&lt;&gt;"",
COUNTIFS(AE$5:AE$29,AE8,C$5:C$29,C8)&gt;1),
"Doublon",
IF(AND(E8="Connues",
SUMPRODUCT(
(E$5:E$29="Connues")*
(C$5:C$29=C8)*
(ROW($5:$29)&lt;&gt;ROW())*
(ABS(N(H$5:H$29)-N(H8))&lt;=2)*
(
(ABS(N(H$5:H$29)-N(IFERROR(VLOOKUP(C8,'Valeurs Règlement Campagne'!$A$4:$T$7,18,FALSE),0)))&lt;=2)+
(ABS(N(H$5:H$29)-N(IFERROR(VLOOKUP(C8,'Valeurs Règlement Campagne'!$A$4:$T$7,19,FALSE),0)))&lt;=2)+
(ABS(N(H$5:H$29)-N(IFERROR(VLOOKUP(C8,'Valeurs Règlement Campagne'!$A$4:$T$7,20,FALSE),0)))&lt;=2)
)
)&gt;0),
"Doublon",
IF($C8=0," ",
IF(N(H8)=0," ",
IF(E8="Inconnues",
AND(N(H8)&gt;=N(O8),N(H8)&lt;=N(P8)),
IF(AND('Valeurs Règlement Campagne'!$L$14="OUI",E8="Connues"),
AND(N(H8)&gt;=N(O8)-2,N(H8)&lt;=N(P8)+2),
OR(N(H8)=N(O8),N(H8)=N(O8)+5,N(H8)=N(P8))
)
)
)
)
)))</f>
        <v xml:space="preserve"> </v>
      </c>
      <c r="U8" s="192" t="str">
        <f>IF($C8=" "," ",IF(I8=" "," ",IF('Valeurs Règlement Campagne'!$L$14="OUI",AND(I8&gt;=O8-2,I8&lt;=Q8+2),OR(I8=O8,I8=O8+5,I8=Q8))))</f>
        <v xml:space="preserve"> </v>
      </c>
      <c r="V8" s="220" t="str">
        <f t="shared" si="1"/>
        <v xml:space="preserve"> </v>
      </c>
      <c r="W8" s="218"/>
      <c r="X8" s="218" t="str">
        <f t="shared" si="2"/>
        <v xml:space="preserve"> </v>
      </c>
      <c r="Y8" s="218"/>
      <c r="Z8" s="218" t="str">
        <f t="shared" si="3"/>
        <v xml:space="preserve"> </v>
      </c>
      <c r="AA8" s="252"/>
      <c r="AB8" s="110" t="str">
        <f t="shared" si="7"/>
        <v/>
      </c>
      <c r="AC8" s="100" t="str">
        <f>IF(
  E8="Connues",
  IF(
    ABS(F8 - VLOOKUP(C8,'Valeurs Règlement Campagne'!$A$4:$T$7,12,FALSE))&lt;=2,
    VLOOKUP(C8,'Valeurs Règlement Campagne'!$A$4:$T$7,12,FALSE),
    IF(
      ABS(F8 - VLOOKUP(C8,'Valeurs Règlement Campagne'!$A$4:$T$7,13,FALSE))&lt;=2,
      VLOOKUP(C8,'Valeurs Règlement Campagne'!$A$4:$T$7,13,FALSE),
      IF(
        ABS(F8 - VLOOKUP(C8,'Valeurs Règlement Campagne'!$A$4:$T$7,14,FALSE))&lt;=2,
        VLOOKUP(C8,'Valeurs Règlement Campagne'!$A$4:$T$7,14,FALSE),
        ""
      )
    )
  ),
  ""
)</f>
        <v/>
      </c>
      <c r="AD8" s="100" t="str">
        <f>IF(
  E8="Connues",
  IF(
    ABS(G8 - VLOOKUP(C8,'Valeurs Règlement Campagne'!$A$4:$T$7,15,FALSE))&lt;=2,
    VLOOKUP(C8,'Valeurs Règlement Campagne'!$A$4:$T$7,15,FALSE),
    IF(
      ABS(G8 - VLOOKUP(C8,'Valeurs Règlement Campagne'!$A$4:$T$7,16,FALSE))&lt;=2,
      VLOOKUP(C8,'Valeurs Règlement Campagne'!$A$4:$T$7,16,FALSE),
      IF(
        ABS(G8 - VLOOKUP(C8,'Valeurs Règlement Campagne'!$A$4:$T$7,17,FALSE))&lt;=2,
        VLOOKUP(C8,'Valeurs Règlement Campagne'!$A$4:$T$7,17,FALSE),
        ""
      )
    )
  ),
  ""
)</f>
        <v/>
      </c>
      <c r="AE8" s="100" t="str">
        <f>IF(
  E8="Connues",
  IF(
    ABS(H8 - VLOOKUP(C8,'Valeurs Règlement Campagne'!$A$4:$T$7,15,FALSE))&lt;=2,
    VLOOKUP(C8,'Valeurs Règlement Campagne'!$A$4:$T$7,15,FALSE),
    IF(
      ABS(H8 - VLOOKUP(C8,'Valeurs Règlement Campagne'!$A$4:$T$7,16,FALSE))&lt;=2,
      VLOOKUP(C8,'Valeurs Règlement Campagne'!$A$4:$T$7,16,FALSE),
      IF(
        ABS(H8 - VLOOKUP(C8,'Valeurs Règlement Campagne'!$A$4:$T$7,17,FALSE))&lt;=2,
        VLOOKUP(C8,'Valeurs Règlement Campagne'!$A$4:$T$7,17,FALSE),
        ""
      )
    )
  ),
  ""
)</f>
        <v/>
      </c>
    </row>
    <row r="9" spans="1:31" ht="20.75" customHeight="1">
      <c r="A9" s="213">
        <v>4</v>
      </c>
      <c r="B9" s="216" t="str">
        <f>IF(NOT(ISBLANK(Organisateur!B9)),Organisateur!B9," ")</f>
        <v xml:space="preserve"> </v>
      </c>
      <c r="C9" s="254" t="str">
        <f>IF(NOT(ISBLANK(Organisateur!C9)),Organisateur!C9," ")</f>
        <v xml:space="preserve"> </v>
      </c>
      <c r="D9" s="254"/>
      <c r="E9" s="210" t="str">
        <f>IF(NOT(ISBLANK(Organisateur!E9)),Organisateur!E9," ")</f>
        <v xml:space="preserve"> </v>
      </c>
      <c r="F9" s="183" t="str">
        <f>IF(NOT(ISBLANK(Organisateur!F9)),Organisateur!F9," ")</f>
        <v xml:space="preserve"> </v>
      </c>
      <c r="G9" s="183" t="str">
        <f>IF(NOT(ISBLANK(Organisateur!G9)),Organisateur!G9," ")</f>
        <v xml:space="preserve"> </v>
      </c>
      <c r="H9" s="183" t="str">
        <f>IF(NOT(ISBLANK(Organisateur!H9)),Organisateur!H9," ")</f>
        <v xml:space="preserve"> </v>
      </c>
      <c r="I9" s="183" t="str">
        <f>IF(NOT(ISBLANK(Organisateur!I9)),Organisateur!I9," ")</f>
        <v xml:space="preserve"> </v>
      </c>
      <c r="J9" s="101"/>
      <c r="K9" s="102" t="str">
        <f>IF($E9=" "," ",IF($E9=$D$31,VLOOKUP($C9,'Valeurs Règlement Campagne'!$A$4:$T$7,12,FALSE),VLOOKUP($C9,'Valeurs Règlement Campagne'!$A$4:$I$7,4,FALSE)))</f>
        <v xml:space="preserve"> </v>
      </c>
      <c r="L9" s="103" t="str">
        <f>IF($E9=" "," ",IF($E9=$D$31,VLOOKUP($C9,'Valeurs Règlement Campagne'!$A$4:$T$7,14,FALSE),VLOOKUP($C9,'Valeurs Règlement Campagne'!$A$4:$L$7,5,FALSE)))</f>
        <v xml:space="preserve"> </v>
      </c>
      <c r="M9" s="102" t="str">
        <f>IF($E9=" "," ",IF($E9=$D$31,VLOOKUP($C9,'Valeurs Règlement Campagne'!$A$4:$T$7,15,FALSE),VLOOKUP($C9,'Valeurs Règlement Campagne'!$A$4:$M$7,6,FALSE)))</f>
        <v xml:space="preserve"> </v>
      </c>
      <c r="N9" s="103" t="str">
        <f>IF($E9=" "," ",IF($E9=$D$31,VLOOKUP($C9,'Valeurs Règlement Campagne'!$A$4:$T$7,17,FALSE),VLOOKUP($C9,'Valeurs Règlement Campagne'!$A$4:$N$7,7,FALSE)))</f>
        <v xml:space="preserve"> </v>
      </c>
      <c r="O9" s="187" t="str">
        <f>IF($E9=" "," ",IF($E9=$D$31,VLOOKUP($C9,'Valeurs Règlement Campagne'!$A$4:$T$7,18,FALSE),VLOOKUP($C9,'Valeurs Règlement Campagne'!$A$4:$O$7,8,FALSE)))</f>
        <v xml:space="preserve"> </v>
      </c>
      <c r="P9" s="186" t="str">
        <f>IF($E9=" "," ",IF($E9=$D$31,VLOOKUP($C9,'Valeurs Règlement Campagne'!$A$4:$T$7,20,FALSE),VLOOKUP($C9,'Valeurs Règlement Campagne'!$A$4:$P$7,9,FALSE)))</f>
        <v xml:space="preserve"> </v>
      </c>
      <c r="Q9" s="190" t="str">
        <f t="shared" si="6"/>
        <v xml:space="preserve"> </v>
      </c>
      <c r="R9" s="112" t="str" cm="1">
        <f t="array" ref="R9">IF(C9=" "," ",
IF(AND(E9="Connues",AC9&lt;&gt;"",
COUNTIFS(AC$5:AC$29,AC9,C$5:C$29,C9)&gt;1),
"Doublon",
IF(AND(E9="Connues",
SUMPRODUCT(
(E$5:E$29="Connues")*
(C$5:C$29=C9)*
(ROW($5:$29)&lt;&gt;ROW())*
(ABS(N(F$5:F$29)-N(F9))&lt;=2)*
(
(ABS(N(F$5:F$29)-N(IFERROR(VLOOKUP(C9,'Valeurs Règlement Campagne'!$A$4:$T$7,12,FALSE),0)))&lt;=2)+
(ABS(N(F$5:F$29)-N(IFERROR(VLOOKUP(C9,'Valeurs Règlement Campagne'!$A$4:$T$7,13,FALSE),0)))&lt;=2)+
(ABS(N(F$5:F$29)-N(IFERROR(VLOOKUP(C9,'Valeurs Règlement Campagne'!$A$4:$T$7,14,FALSE),0)))&lt;=2)
)
)&gt;0),
"Doublon",
IF($C9=0," ",
IF(N(F9)=0," ",
IF(E9="Inconnues",
AND(N(F9)&gt;=N(K9),N(F9)&lt;=N(L9)),
IF(AND('Valeurs Règlement Campagne'!$L$14="OUI",E9="Connues"),
AND(N(F9)&gt;=N(K9)-2,N(F9)&lt;=N(L9)+2),
OR(N(F9)=N(K9),N(F9)=N(K9)+5,N(F9)=N(L9))
)
)
)
)
)))</f>
        <v xml:space="preserve"> </v>
      </c>
      <c r="S9" s="113" t="str" cm="1">
        <f t="array" ref="S9">IF(C9=" "," ",
IF(AND(E9="Connues",AD9&lt;&gt;"",
COUNTIFS(AD$5:AD$29,AD9,C$5:C$29,C9)&gt;1),
"Doublon",
IF(AND(E9="Connues",
SUMPRODUCT(
(E$5:E$29="Connues")*
(C$5:C$29=C9)*
(ROW($5:$29)&lt;&gt;ROW())*
(ABS(N(G$5:G$29)-N(G9))&lt;=2)*
(
(ABS(N(G$5:G$29)-N(IFERROR(VLOOKUP(C9,'Valeurs Règlement Campagne'!$A$4:$T$7,15,FALSE),0)))&lt;=2)+
(ABS(N(G$5:G$29)-N(IFERROR(VLOOKUP(C9,'Valeurs Règlement Campagne'!$A$4:$T$7,16,FALSE),0)))&lt;=2)+
(ABS(N(G$5:G$29)-N(IFERROR(VLOOKUP(C9,'Valeurs Règlement Campagne'!$A$4:$T$7,17,FALSE),0)))&lt;=2)
)
)&gt;0),
"Doublon",
IF($C9=0," ",
IF(N(G9)=0," ",
IF(E9="Inconnues",
AND(N(G9)&gt;=N(M9),N(G9)&lt;=N(N9)),
IF(AND('Valeurs Règlement Campagne'!$L$14="OUI",E9="Connues"),
AND(N(G9)&gt;=N(M9)-2,N(G9)&lt;=N(N9)+2),
OR(N(G9)=N(M9),N(G9)=N(M9)+5,N(G9)=N(N9))
)
)
)
)
)))</f>
        <v xml:space="preserve"> </v>
      </c>
      <c r="T9" s="113" t="str" cm="1">
        <f t="array" ref="T9">IF(C9=" "," ",
IF(AND(E9="Connues",AE9&lt;&gt;"",
COUNTIFS(AE$5:AE$29,AE9,C$5:C$29,C9)&gt;1),
"Doublon",
IF(AND(E9="Connues",
SUMPRODUCT(
(E$5:E$29="Connues")*
(C$5:C$29=C9)*
(ROW($5:$29)&lt;&gt;ROW())*
(ABS(N(H$5:H$29)-N(H9))&lt;=2)*
(
(ABS(N(H$5:H$29)-N(IFERROR(VLOOKUP(C9,'Valeurs Règlement Campagne'!$A$4:$T$7,18,FALSE),0)))&lt;=2)+
(ABS(N(H$5:H$29)-N(IFERROR(VLOOKUP(C9,'Valeurs Règlement Campagne'!$A$4:$T$7,19,FALSE),0)))&lt;=2)+
(ABS(N(H$5:H$29)-N(IFERROR(VLOOKUP(C9,'Valeurs Règlement Campagne'!$A$4:$T$7,20,FALSE),0)))&lt;=2)
)
)&gt;0),
"Doublon",
IF($C9=0," ",
IF(N(H9)=0," ",
IF(E9="Inconnues",
AND(N(H9)&gt;=N(O9),N(H9)&lt;=N(P9)),
IF(AND('Valeurs Règlement Campagne'!$L$14="OUI",E9="Connues"),
AND(N(H9)&gt;=N(O9)-2,N(H9)&lt;=N(P9)+2),
OR(N(H9)=N(O9),N(H9)=N(O9)+5,N(H9)=N(P9))
)
)
)
)
)))</f>
        <v xml:space="preserve"> </v>
      </c>
      <c r="U9" s="192" t="str">
        <f>IF($C9=" "," ",IF(I9=" "," ",IF('Valeurs Règlement Campagne'!$L$14="OUI",AND(I9&gt;=O9-2,I9&lt;=Q9+2),OR(I9=O9,I9=O9+5,I9=Q9))))</f>
        <v xml:space="preserve"> </v>
      </c>
      <c r="V9" s="220" t="str">
        <f t="shared" si="1"/>
        <v xml:space="preserve"> </v>
      </c>
      <c r="W9" s="218"/>
      <c r="X9" s="218" t="str">
        <f t="shared" si="2"/>
        <v xml:space="preserve"> </v>
      </c>
      <c r="Y9" s="218"/>
      <c r="Z9" s="218" t="str">
        <f t="shared" si="3"/>
        <v xml:space="preserve"> </v>
      </c>
      <c r="AA9" s="252"/>
      <c r="AB9" s="110" t="str">
        <f t="shared" si="7"/>
        <v/>
      </c>
      <c r="AC9" s="100" t="str">
        <f>IF(
  E9="Connues",
  IF(
    ABS(F9 - VLOOKUP(C9,'Valeurs Règlement Campagne'!$A$4:$T$7,12,FALSE))&lt;=2,
    VLOOKUP(C9,'Valeurs Règlement Campagne'!$A$4:$T$7,12,FALSE),
    IF(
      ABS(F9 - VLOOKUP(C9,'Valeurs Règlement Campagne'!$A$4:$T$7,13,FALSE))&lt;=2,
      VLOOKUP(C9,'Valeurs Règlement Campagne'!$A$4:$T$7,13,FALSE),
      IF(
        ABS(F9 - VLOOKUP(C9,'Valeurs Règlement Campagne'!$A$4:$T$7,14,FALSE))&lt;=2,
        VLOOKUP(C9,'Valeurs Règlement Campagne'!$A$4:$T$7,14,FALSE),
        ""
      )
    )
  ),
  ""
)</f>
        <v/>
      </c>
      <c r="AD9" s="100" t="str">
        <f>IF(
  E9="Connues",
  IF(
    ABS(G9 - VLOOKUP(C9,'Valeurs Règlement Campagne'!$A$4:$T$7,15,FALSE))&lt;=2,
    VLOOKUP(C9,'Valeurs Règlement Campagne'!$A$4:$T$7,15,FALSE),
    IF(
      ABS(G9 - VLOOKUP(C9,'Valeurs Règlement Campagne'!$A$4:$T$7,16,FALSE))&lt;=2,
      VLOOKUP(C9,'Valeurs Règlement Campagne'!$A$4:$T$7,16,FALSE),
      IF(
        ABS(G9 - VLOOKUP(C9,'Valeurs Règlement Campagne'!$A$4:$T$7,17,FALSE))&lt;=2,
        VLOOKUP(C9,'Valeurs Règlement Campagne'!$A$4:$T$7,17,FALSE),
        ""
      )
    )
  ),
  ""
)</f>
        <v/>
      </c>
      <c r="AE9" s="100" t="str">
        <f>IF(
  E9="Connues",
  IF(
    ABS(H9 - VLOOKUP(C9,'Valeurs Règlement Campagne'!$A$4:$T$7,15,FALSE))&lt;=2,
    VLOOKUP(C9,'Valeurs Règlement Campagne'!$A$4:$T$7,15,FALSE),
    IF(
      ABS(H9 - VLOOKUP(C9,'Valeurs Règlement Campagne'!$A$4:$T$7,16,FALSE))&lt;=2,
      VLOOKUP(C9,'Valeurs Règlement Campagne'!$A$4:$T$7,16,FALSE),
      IF(
        ABS(H9 - VLOOKUP(C9,'Valeurs Règlement Campagne'!$A$4:$T$7,17,FALSE))&lt;=2,
        VLOOKUP(C9,'Valeurs Règlement Campagne'!$A$4:$T$7,17,FALSE),
        ""
      )
    )
  ),
  ""
)</f>
        <v/>
      </c>
    </row>
    <row r="10" spans="1:31" ht="20.75" customHeight="1">
      <c r="A10" s="213">
        <v>5</v>
      </c>
      <c r="B10" s="216" t="str">
        <f>IF(NOT(ISBLANK(Organisateur!B10)),Organisateur!B10," ")</f>
        <v xml:space="preserve"> </v>
      </c>
      <c r="C10" s="254" t="str">
        <f>IF(NOT(ISBLANK(Organisateur!C10)),Organisateur!C10," ")</f>
        <v xml:space="preserve"> </v>
      </c>
      <c r="D10" s="254"/>
      <c r="E10" s="210" t="str">
        <f>IF(NOT(ISBLANK(Organisateur!E10)),Organisateur!E10," ")</f>
        <v xml:space="preserve"> </v>
      </c>
      <c r="F10" s="183" t="str">
        <f>IF(NOT(ISBLANK(Organisateur!F10)),Organisateur!F10," ")</f>
        <v xml:space="preserve"> </v>
      </c>
      <c r="G10" s="183" t="str">
        <f>IF(NOT(ISBLANK(Organisateur!G10)),Organisateur!G10," ")</f>
        <v xml:space="preserve"> </v>
      </c>
      <c r="H10" s="183" t="str">
        <f>IF(NOT(ISBLANK(Organisateur!H10)),Organisateur!H10," ")</f>
        <v xml:space="preserve"> </v>
      </c>
      <c r="I10" s="183" t="str">
        <f>IF(NOT(ISBLANK(Organisateur!I10)),Organisateur!I10," ")</f>
        <v xml:space="preserve"> </v>
      </c>
      <c r="J10" s="101"/>
      <c r="K10" s="102" t="str">
        <f>IF($E10=" "," ",IF($E10=$D$31,VLOOKUP($C10,'Valeurs Règlement Campagne'!$A$4:$T$7,12,FALSE),VLOOKUP($C10,'Valeurs Règlement Campagne'!$A$4:$I$7,4,FALSE)))</f>
        <v xml:space="preserve"> </v>
      </c>
      <c r="L10" s="103" t="str">
        <f>IF($E10=" "," ",IF($E10=$D$31,VLOOKUP($C10,'Valeurs Règlement Campagne'!$A$4:$T$7,14,FALSE),VLOOKUP($C10,'Valeurs Règlement Campagne'!$A$4:$L$7,5,FALSE)))</f>
        <v xml:space="preserve"> </v>
      </c>
      <c r="M10" s="102" t="str">
        <f>IF($E10=" "," ",IF($E10=$D$31,VLOOKUP($C10,'Valeurs Règlement Campagne'!$A$4:$T$7,15,FALSE),VLOOKUP($C10,'Valeurs Règlement Campagne'!$A$4:$M$7,6,FALSE)))</f>
        <v xml:space="preserve"> </v>
      </c>
      <c r="N10" s="103" t="str">
        <f>IF($E10=" "," ",IF($E10=$D$31,VLOOKUP($C10,'Valeurs Règlement Campagne'!$A$4:$T$7,17,FALSE),VLOOKUP($C10,'Valeurs Règlement Campagne'!$A$4:$N$7,7,FALSE)))</f>
        <v xml:space="preserve"> </v>
      </c>
      <c r="O10" s="187" t="str">
        <f>IF($E10=" "," ",IF($E10=$D$31,VLOOKUP($C10,'Valeurs Règlement Campagne'!$A$4:$T$7,18,FALSE),VLOOKUP($C10,'Valeurs Règlement Campagne'!$A$4:$O$7,8,FALSE)))</f>
        <v xml:space="preserve"> </v>
      </c>
      <c r="P10" s="186" t="str">
        <f>IF($E10=" "," ",IF($E10=$D$31,VLOOKUP($C10,'Valeurs Règlement Campagne'!$A$4:$T$7,20,FALSE),VLOOKUP($C10,'Valeurs Règlement Campagne'!$A$4:$P$7,9,FALSE)))</f>
        <v xml:space="preserve"> </v>
      </c>
      <c r="Q10" s="190" t="str">
        <f t="shared" si="6"/>
        <v xml:space="preserve"> </v>
      </c>
      <c r="R10" s="112" t="str" cm="1">
        <f t="array" ref="R10">IF(C10=" "," ",
IF(AND(E10="Connues",AC10&lt;&gt;"",
COUNTIFS(AC$5:AC$29,AC10,C$5:C$29,C10)&gt;1),
"Doublon",
IF(AND(E10="Connues",
SUMPRODUCT(
(E$5:E$29="Connues")*
(C$5:C$29=C10)*
(ROW($5:$29)&lt;&gt;ROW())*
(ABS(N(F$5:F$29)-N(F10))&lt;=2)*
(
(ABS(N(F$5:F$29)-N(IFERROR(VLOOKUP(C10,'Valeurs Règlement Campagne'!$A$4:$T$7,12,FALSE),0)))&lt;=2)+
(ABS(N(F$5:F$29)-N(IFERROR(VLOOKUP(C10,'Valeurs Règlement Campagne'!$A$4:$T$7,13,FALSE),0)))&lt;=2)+
(ABS(N(F$5:F$29)-N(IFERROR(VLOOKUP(C10,'Valeurs Règlement Campagne'!$A$4:$T$7,14,FALSE),0)))&lt;=2)
)
)&gt;0),
"Doublon",
IF($C10=0," ",
IF(N(F10)=0," ",
IF(E10="Inconnues",
AND(N(F10)&gt;=N(K10),N(F10)&lt;=N(L10)),
IF(AND('Valeurs Règlement Campagne'!$L$14="OUI",E10="Connues"),
AND(N(F10)&gt;=N(K10)-2,N(F10)&lt;=N(L10)+2),
OR(N(F10)=N(K10),N(F10)=N(K10)+5,N(F10)=N(L10))
)
)
)
)
)))</f>
        <v xml:space="preserve"> </v>
      </c>
      <c r="S10" s="113" t="str" cm="1">
        <f t="array" ref="S10">IF(C10=" "," ",
IF(AND(E10="Connues",AD10&lt;&gt;"",
COUNTIFS(AD$5:AD$29,AD10,C$5:C$29,C10)&gt;1),
"Doublon",
IF(AND(E10="Connues",
SUMPRODUCT(
(E$5:E$29="Connues")*
(C$5:C$29=C10)*
(ROW($5:$29)&lt;&gt;ROW())*
(ABS(N(G$5:G$29)-N(G10))&lt;=2)*
(
(ABS(N(G$5:G$29)-N(IFERROR(VLOOKUP(C10,'Valeurs Règlement Campagne'!$A$4:$T$7,15,FALSE),0)))&lt;=2)+
(ABS(N(G$5:G$29)-N(IFERROR(VLOOKUP(C10,'Valeurs Règlement Campagne'!$A$4:$T$7,16,FALSE),0)))&lt;=2)+
(ABS(N(G$5:G$29)-N(IFERROR(VLOOKUP(C10,'Valeurs Règlement Campagne'!$A$4:$T$7,17,FALSE),0)))&lt;=2)
)
)&gt;0),
"Doublon",
IF($C10=0," ",
IF(N(G10)=0," ",
IF(E10="Inconnues",
AND(N(G10)&gt;=N(M10),N(G10)&lt;=N(N10)),
IF(AND('Valeurs Règlement Campagne'!$L$14="OUI",E10="Connues"),
AND(N(G10)&gt;=N(M10)-2,N(G10)&lt;=N(N10)+2),
OR(N(G10)=N(M10),N(G10)=N(M10)+5,N(G10)=N(N10))
)
)
)
)
)))</f>
        <v xml:space="preserve"> </v>
      </c>
      <c r="T10" s="113" t="str" cm="1">
        <f t="array" ref="T10">IF(C10=" "," ",
IF(AND(E10="Connues",AE10&lt;&gt;"",
COUNTIFS(AE$5:AE$29,AE10,C$5:C$29,C10)&gt;1),
"Doublon",
IF(AND(E10="Connues",
SUMPRODUCT(
(E$5:E$29="Connues")*
(C$5:C$29=C10)*
(ROW($5:$29)&lt;&gt;ROW())*
(ABS(N(H$5:H$29)-N(H10))&lt;=2)*
(
(ABS(N(H$5:H$29)-N(IFERROR(VLOOKUP(C10,'Valeurs Règlement Campagne'!$A$4:$T$7,18,FALSE),0)))&lt;=2)+
(ABS(N(H$5:H$29)-N(IFERROR(VLOOKUP(C10,'Valeurs Règlement Campagne'!$A$4:$T$7,19,FALSE),0)))&lt;=2)+
(ABS(N(H$5:H$29)-N(IFERROR(VLOOKUP(C10,'Valeurs Règlement Campagne'!$A$4:$T$7,20,FALSE),0)))&lt;=2)
)
)&gt;0),
"Doublon",
IF($C10=0," ",
IF(N(H10)=0," ",
IF(E10="Inconnues",
AND(N(H10)&gt;=N(O10),N(H10)&lt;=N(P10)),
IF(AND('Valeurs Règlement Campagne'!$L$14="OUI",E10="Connues"),
AND(N(H10)&gt;=N(O10)-2,N(H10)&lt;=N(P10)+2),
OR(N(H10)=N(O10),N(H10)=N(O10)+5,N(H10)=N(P10))
)
)
)
)
)))</f>
        <v xml:space="preserve"> </v>
      </c>
      <c r="U10" s="192" t="str">
        <f>IF($C10=" "," ",IF(I10=" "," ",IF('Valeurs Règlement Campagne'!$L$14="OUI",AND(I10&gt;=O10-2,I10&lt;=Q10+2),OR(I10=O10,I10=O10+5,I10=Q10))))</f>
        <v xml:space="preserve"> </v>
      </c>
      <c r="V10" s="220" t="str">
        <f t="shared" si="1"/>
        <v xml:space="preserve"> </v>
      </c>
      <c r="W10" s="218"/>
      <c r="X10" s="218" t="str">
        <f t="shared" si="2"/>
        <v xml:space="preserve"> </v>
      </c>
      <c r="Y10" s="218"/>
      <c r="Z10" s="218" t="str">
        <f t="shared" si="3"/>
        <v xml:space="preserve"> </v>
      </c>
      <c r="AA10" s="252"/>
      <c r="AB10" s="110" t="str">
        <f t="shared" si="7"/>
        <v/>
      </c>
      <c r="AC10" s="100" t="str">
        <f>IF(
  E10="Connues",
  IF(
    ABS(F10 - VLOOKUP(C10,'Valeurs Règlement Campagne'!$A$4:$T$7,12,FALSE))&lt;=2,
    VLOOKUP(C10,'Valeurs Règlement Campagne'!$A$4:$T$7,12,FALSE),
    IF(
      ABS(F10 - VLOOKUP(C10,'Valeurs Règlement Campagne'!$A$4:$T$7,13,FALSE))&lt;=2,
      VLOOKUP(C10,'Valeurs Règlement Campagne'!$A$4:$T$7,13,FALSE),
      IF(
        ABS(F10 - VLOOKUP(C10,'Valeurs Règlement Campagne'!$A$4:$T$7,14,FALSE))&lt;=2,
        VLOOKUP(C10,'Valeurs Règlement Campagne'!$A$4:$T$7,14,FALSE),
        ""
      )
    )
  ),
  ""
)</f>
        <v/>
      </c>
      <c r="AD10" s="100" t="str">
        <f>IF(
  E10="Connues",
  IF(
    ABS(G10 - VLOOKUP(C10,'Valeurs Règlement Campagne'!$A$4:$T$7,15,FALSE))&lt;=2,
    VLOOKUP(C10,'Valeurs Règlement Campagne'!$A$4:$T$7,15,FALSE),
    IF(
      ABS(G10 - VLOOKUP(C10,'Valeurs Règlement Campagne'!$A$4:$T$7,16,FALSE))&lt;=2,
      VLOOKUP(C10,'Valeurs Règlement Campagne'!$A$4:$T$7,16,FALSE),
      IF(
        ABS(G10 - VLOOKUP(C10,'Valeurs Règlement Campagne'!$A$4:$T$7,17,FALSE))&lt;=2,
        VLOOKUP(C10,'Valeurs Règlement Campagne'!$A$4:$T$7,17,FALSE),
        ""
      )
    )
  ),
  ""
)</f>
        <v/>
      </c>
      <c r="AE10" s="100" t="str">
        <f>IF(
  E10="Connues",
  IF(
    ABS(H10 - VLOOKUP(C10,'Valeurs Règlement Campagne'!$A$4:$T$7,15,FALSE))&lt;=2,
    VLOOKUP(C10,'Valeurs Règlement Campagne'!$A$4:$T$7,15,FALSE),
    IF(
      ABS(H10 - VLOOKUP(C10,'Valeurs Règlement Campagne'!$A$4:$T$7,16,FALSE))&lt;=2,
      VLOOKUP(C10,'Valeurs Règlement Campagne'!$A$4:$T$7,16,FALSE),
      IF(
        ABS(H10 - VLOOKUP(C10,'Valeurs Règlement Campagne'!$A$4:$T$7,17,FALSE))&lt;=2,
        VLOOKUP(C10,'Valeurs Règlement Campagne'!$A$4:$T$7,17,FALSE),
        ""
      )
    )
  ),
  ""
)</f>
        <v/>
      </c>
    </row>
    <row r="11" spans="1:31" ht="20.75" customHeight="1">
      <c r="A11" s="213">
        <v>6</v>
      </c>
      <c r="B11" s="216" t="str">
        <f>IF(NOT(ISBLANK(Organisateur!B11)),Organisateur!B11," ")</f>
        <v xml:space="preserve"> </v>
      </c>
      <c r="C11" s="254" t="str">
        <f>IF(NOT(ISBLANK(Organisateur!C11)),Organisateur!C11," ")</f>
        <v xml:space="preserve"> </v>
      </c>
      <c r="D11" s="254"/>
      <c r="E11" s="210" t="str">
        <f>IF(NOT(ISBLANK(Organisateur!E11)),Organisateur!E11," ")</f>
        <v xml:space="preserve"> </v>
      </c>
      <c r="F11" s="183" t="str">
        <f>IF(NOT(ISBLANK(Organisateur!F11)),Organisateur!F11," ")</f>
        <v xml:space="preserve"> </v>
      </c>
      <c r="G11" s="183" t="str">
        <f>IF(NOT(ISBLANK(Organisateur!G11)),Organisateur!G11," ")</f>
        <v xml:space="preserve"> </v>
      </c>
      <c r="H11" s="183" t="str">
        <f>IF(NOT(ISBLANK(Organisateur!H11)),Organisateur!H11," ")</f>
        <v xml:space="preserve"> </v>
      </c>
      <c r="I11" s="183" t="str">
        <f>IF(NOT(ISBLANK(Organisateur!I11)),Organisateur!I11," ")</f>
        <v xml:space="preserve"> </v>
      </c>
      <c r="J11" s="101"/>
      <c r="K11" s="102" t="str">
        <f>IF($E11=" "," ",IF($E11=$D$31,VLOOKUP($C11,'Valeurs Règlement Campagne'!$A$4:$T$7,12,FALSE),VLOOKUP($C11,'Valeurs Règlement Campagne'!$A$4:$I$7,4,FALSE)))</f>
        <v xml:space="preserve"> </v>
      </c>
      <c r="L11" s="103" t="str">
        <f>IF($E11=" "," ",IF($E11=$D$31,VLOOKUP($C11,'Valeurs Règlement Campagne'!$A$4:$T$7,14,FALSE),VLOOKUP($C11,'Valeurs Règlement Campagne'!$A$4:$L$7,5,FALSE)))</f>
        <v xml:space="preserve"> </v>
      </c>
      <c r="M11" s="102" t="str">
        <f>IF($E11=" "," ",IF($E11=$D$31,VLOOKUP($C11,'Valeurs Règlement Campagne'!$A$4:$T$7,15,FALSE),VLOOKUP($C11,'Valeurs Règlement Campagne'!$A$4:$M$7,6,FALSE)))</f>
        <v xml:space="preserve"> </v>
      </c>
      <c r="N11" s="103" t="str">
        <f>IF($E11=" "," ",IF($E11=$D$31,VLOOKUP($C11,'Valeurs Règlement Campagne'!$A$4:$T$7,17,FALSE),VLOOKUP($C11,'Valeurs Règlement Campagne'!$A$4:$N$7,7,FALSE)))</f>
        <v xml:space="preserve"> </v>
      </c>
      <c r="O11" s="187" t="str">
        <f>IF($E11=" "," ",IF($E11=$D$31,VLOOKUP($C11,'Valeurs Règlement Campagne'!$A$4:$T$7,18,FALSE),VLOOKUP($C11,'Valeurs Règlement Campagne'!$A$4:$O$7,8,FALSE)))</f>
        <v xml:space="preserve"> </v>
      </c>
      <c r="P11" s="186" t="str">
        <f>IF($E11=" "," ",IF($E11=$D$31,VLOOKUP($C11,'Valeurs Règlement Campagne'!$A$4:$T$7,20,FALSE),VLOOKUP($C11,'Valeurs Règlement Campagne'!$A$4:$P$7,9,FALSE)))</f>
        <v xml:space="preserve"> </v>
      </c>
      <c r="Q11" s="190" t="str">
        <f t="shared" si="6"/>
        <v xml:space="preserve"> </v>
      </c>
      <c r="R11" s="112" t="str" cm="1">
        <f t="array" ref="R11">IF(C11=" "," ",
IF(AND(E11="Connues",AC11&lt;&gt;"",
COUNTIFS(AC$5:AC$29,AC11,C$5:C$29,C11)&gt;1),
"Doublon",
IF(AND(E11="Connues",
SUMPRODUCT(
(E$5:E$29="Connues")*
(C$5:C$29=C11)*
(ROW($5:$29)&lt;&gt;ROW())*
(ABS(N(F$5:F$29)-N(F11))&lt;=2)*
(
(ABS(N(F$5:F$29)-N(IFERROR(VLOOKUP(C11,'Valeurs Règlement Campagne'!$A$4:$T$7,12,FALSE),0)))&lt;=2)+
(ABS(N(F$5:F$29)-N(IFERROR(VLOOKUP(C11,'Valeurs Règlement Campagne'!$A$4:$T$7,13,FALSE),0)))&lt;=2)+
(ABS(N(F$5:F$29)-N(IFERROR(VLOOKUP(C11,'Valeurs Règlement Campagne'!$A$4:$T$7,14,FALSE),0)))&lt;=2)
)
)&gt;0),
"Doublon",
IF($C11=0," ",
IF(N(F11)=0," ",
IF(E11="Inconnues",
AND(N(F11)&gt;=N(K11),N(F11)&lt;=N(L11)),
IF(AND('Valeurs Règlement Campagne'!$L$14="OUI",E11="Connues"),
AND(N(F11)&gt;=N(K11)-2,N(F11)&lt;=N(L11)+2),
OR(N(F11)=N(K11),N(F11)=N(K11)+5,N(F11)=N(L11))
)
)
)
)
)))</f>
        <v xml:space="preserve"> </v>
      </c>
      <c r="S11" s="113" t="str" cm="1">
        <f t="array" ref="S11">IF(C11=" "," ",
IF(AND(E11="Connues",AD11&lt;&gt;"",
COUNTIFS(AD$5:AD$29,AD11,C$5:C$29,C11)&gt;1),
"Doublon",
IF(AND(E11="Connues",
SUMPRODUCT(
(E$5:E$29="Connues")*
(C$5:C$29=C11)*
(ROW($5:$29)&lt;&gt;ROW())*
(ABS(N(G$5:G$29)-N(G11))&lt;=2)*
(
(ABS(N(G$5:G$29)-N(IFERROR(VLOOKUP(C11,'Valeurs Règlement Campagne'!$A$4:$T$7,15,FALSE),0)))&lt;=2)+
(ABS(N(G$5:G$29)-N(IFERROR(VLOOKUP(C11,'Valeurs Règlement Campagne'!$A$4:$T$7,16,FALSE),0)))&lt;=2)+
(ABS(N(G$5:G$29)-N(IFERROR(VLOOKUP(C11,'Valeurs Règlement Campagne'!$A$4:$T$7,17,FALSE),0)))&lt;=2)
)
)&gt;0),
"Doublon",
IF($C11=0," ",
IF(N(G11)=0," ",
IF(E11="Inconnues",
AND(N(G11)&gt;=N(M11),N(G11)&lt;=N(N11)),
IF(AND('Valeurs Règlement Campagne'!$L$14="OUI",E11="Connues"),
AND(N(G11)&gt;=N(M11)-2,N(G11)&lt;=N(N11)+2),
OR(N(G11)=N(M11),N(G11)=N(M11)+5,N(G11)=N(N11))
)
)
)
)
)))</f>
        <v xml:space="preserve"> </v>
      </c>
      <c r="T11" s="113" t="str" cm="1">
        <f t="array" ref="T11">IF(C11=" "," ",
IF(AND(E11="Connues",AE11&lt;&gt;"",
COUNTIFS(AE$5:AE$29,AE11,C$5:C$29,C11)&gt;1),
"Doublon",
IF(AND(E11="Connues",
SUMPRODUCT(
(E$5:E$29="Connues")*
(C$5:C$29=C11)*
(ROW($5:$29)&lt;&gt;ROW())*
(ABS(N(H$5:H$29)-N(H11))&lt;=2)*
(
(ABS(N(H$5:H$29)-N(IFERROR(VLOOKUP(C11,'Valeurs Règlement Campagne'!$A$4:$T$7,18,FALSE),0)))&lt;=2)+
(ABS(N(H$5:H$29)-N(IFERROR(VLOOKUP(C11,'Valeurs Règlement Campagne'!$A$4:$T$7,19,FALSE),0)))&lt;=2)+
(ABS(N(H$5:H$29)-N(IFERROR(VLOOKUP(C11,'Valeurs Règlement Campagne'!$A$4:$T$7,20,FALSE),0)))&lt;=2)
)
)&gt;0),
"Doublon",
IF($C11=0," ",
IF(N(H11)=0," ",
IF(E11="Inconnues",
AND(N(H11)&gt;=N(O11),N(H11)&lt;=N(P11)),
IF(AND('Valeurs Règlement Campagne'!$L$14="OUI",E11="Connues"),
AND(N(H11)&gt;=N(O11)-2,N(H11)&lt;=N(P11)+2),
OR(N(H11)=N(O11),N(H11)=N(O11)+5,N(H11)=N(P11))
)
)
)
)
)))</f>
        <v xml:space="preserve"> </v>
      </c>
      <c r="U11" s="192" t="str">
        <f>IF($C11=" "," ",IF(I11=" "," ",IF('Valeurs Règlement Campagne'!$L$14="OUI",AND(I11&gt;=O11-2,I11&lt;=Q11+2),OR(I11=O11,I11=O11+5,I11=Q11))))</f>
        <v xml:space="preserve"> </v>
      </c>
      <c r="V11" s="220" t="str">
        <f t="shared" si="1"/>
        <v xml:space="preserve"> </v>
      </c>
      <c r="W11" s="218"/>
      <c r="X11" s="218" t="str">
        <f t="shared" si="2"/>
        <v xml:space="preserve"> </v>
      </c>
      <c r="Y11" s="218"/>
      <c r="Z11" s="218" t="str">
        <f t="shared" si="3"/>
        <v xml:space="preserve"> </v>
      </c>
      <c r="AA11" s="252"/>
      <c r="AB11" s="110" t="str">
        <f t="shared" si="7"/>
        <v/>
      </c>
      <c r="AC11" s="100" t="str">
        <f>IF(
  E11="Connues",
  IF(
    ABS(F11 - VLOOKUP(C11,'Valeurs Règlement Campagne'!$A$4:$T$7,12,FALSE))&lt;=2,
    VLOOKUP(C11,'Valeurs Règlement Campagne'!$A$4:$T$7,12,FALSE),
    IF(
      ABS(F11 - VLOOKUP(C11,'Valeurs Règlement Campagne'!$A$4:$T$7,13,FALSE))&lt;=2,
      VLOOKUP(C11,'Valeurs Règlement Campagne'!$A$4:$T$7,13,FALSE),
      IF(
        ABS(F11 - VLOOKUP(C11,'Valeurs Règlement Campagne'!$A$4:$T$7,14,FALSE))&lt;=2,
        VLOOKUP(C11,'Valeurs Règlement Campagne'!$A$4:$T$7,14,FALSE),
        ""
      )
    )
  ),
  ""
)</f>
        <v/>
      </c>
      <c r="AD11" s="100" t="str">
        <f>IF(
  E11="Connues",
  IF(
    ABS(G11 - VLOOKUP(C11,'Valeurs Règlement Campagne'!$A$4:$T$7,15,FALSE))&lt;=2,
    VLOOKUP(C11,'Valeurs Règlement Campagne'!$A$4:$T$7,15,FALSE),
    IF(
      ABS(G11 - VLOOKUP(C11,'Valeurs Règlement Campagne'!$A$4:$T$7,16,FALSE))&lt;=2,
      VLOOKUP(C11,'Valeurs Règlement Campagne'!$A$4:$T$7,16,FALSE),
      IF(
        ABS(G11 - VLOOKUP(C11,'Valeurs Règlement Campagne'!$A$4:$T$7,17,FALSE))&lt;=2,
        VLOOKUP(C11,'Valeurs Règlement Campagne'!$A$4:$T$7,17,FALSE),
        ""
      )
    )
  ),
  ""
)</f>
        <v/>
      </c>
      <c r="AE11" s="100" t="str">
        <f>IF(
  E11="Connues",
  IF(
    ABS(H11 - VLOOKUP(C11,'Valeurs Règlement Campagne'!$A$4:$T$7,15,FALSE))&lt;=2,
    VLOOKUP(C11,'Valeurs Règlement Campagne'!$A$4:$T$7,15,FALSE),
    IF(
      ABS(H11 - VLOOKUP(C11,'Valeurs Règlement Campagne'!$A$4:$T$7,16,FALSE))&lt;=2,
      VLOOKUP(C11,'Valeurs Règlement Campagne'!$A$4:$T$7,16,FALSE),
      IF(
        ABS(H11 - VLOOKUP(C11,'Valeurs Règlement Campagne'!$A$4:$T$7,17,FALSE))&lt;=2,
        VLOOKUP(C11,'Valeurs Règlement Campagne'!$A$4:$T$7,17,FALSE),
        ""
      )
    )
  ),
  ""
)</f>
        <v/>
      </c>
    </row>
    <row r="12" spans="1:31" ht="20.75" customHeight="1">
      <c r="A12" s="213">
        <v>7</v>
      </c>
      <c r="B12" s="216" t="str">
        <f>IF(NOT(ISBLANK(Organisateur!B12)),Organisateur!B12," ")</f>
        <v xml:space="preserve"> </v>
      </c>
      <c r="C12" s="254" t="str">
        <f>IF(NOT(ISBLANK(Organisateur!C12)),Organisateur!C12," ")</f>
        <v xml:space="preserve"> </v>
      </c>
      <c r="D12" s="254"/>
      <c r="E12" s="210" t="str">
        <f>IF(NOT(ISBLANK(Organisateur!E12)),Organisateur!E12," ")</f>
        <v xml:space="preserve"> </v>
      </c>
      <c r="F12" s="183" t="str">
        <f>IF(NOT(ISBLANK(Organisateur!F12)),Organisateur!F12," ")</f>
        <v xml:space="preserve"> </v>
      </c>
      <c r="G12" s="183" t="str">
        <f>IF(NOT(ISBLANK(Organisateur!G12)),Organisateur!G12," ")</f>
        <v xml:space="preserve"> </v>
      </c>
      <c r="H12" s="183" t="str">
        <f>IF(NOT(ISBLANK(Organisateur!H12)),Organisateur!H12," ")</f>
        <v xml:space="preserve"> </v>
      </c>
      <c r="I12" s="183" t="str">
        <f>IF(NOT(ISBLANK(Organisateur!I12)),Organisateur!I12," ")</f>
        <v xml:space="preserve"> </v>
      </c>
      <c r="J12" s="101"/>
      <c r="K12" s="102" t="str">
        <f>IF($E12=" "," ",IF($E12=$D$31,VLOOKUP($C12,'Valeurs Règlement Campagne'!$A$4:$T$7,12,FALSE),VLOOKUP($C12,'Valeurs Règlement Campagne'!$A$4:$I$7,4,FALSE)))</f>
        <v xml:space="preserve"> </v>
      </c>
      <c r="L12" s="103" t="str">
        <f>IF($E12=" "," ",IF($E12=$D$31,VLOOKUP($C12,'Valeurs Règlement Campagne'!$A$4:$T$7,14,FALSE),VLOOKUP($C12,'Valeurs Règlement Campagne'!$A$4:$L$7,5,FALSE)))</f>
        <v xml:space="preserve"> </v>
      </c>
      <c r="M12" s="102" t="str">
        <f>IF($E12=" "," ",IF($E12=$D$31,VLOOKUP($C12,'Valeurs Règlement Campagne'!$A$4:$T$7,15,FALSE),VLOOKUP($C12,'Valeurs Règlement Campagne'!$A$4:$M$7,6,FALSE)))</f>
        <v xml:space="preserve"> </v>
      </c>
      <c r="N12" s="103" t="str">
        <f>IF($E12=" "," ",IF($E12=$D$31,VLOOKUP($C12,'Valeurs Règlement Campagne'!$A$4:$T$7,17,FALSE),VLOOKUP($C12,'Valeurs Règlement Campagne'!$A$4:$N$7,7,FALSE)))</f>
        <v xml:space="preserve"> </v>
      </c>
      <c r="O12" s="187" t="str">
        <f>IF($E12=" "," ",IF($E12=$D$31,VLOOKUP($C12,'Valeurs Règlement Campagne'!$A$4:$T$7,18,FALSE),VLOOKUP($C12,'Valeurs Règlement Campagne'!$A$4:$O$7,8,FALSE)))</f>
        <v xml:space="preserve"> </v>
      </c>
      <c r="P12" s="186" t="str">
        <f>IF($E12=" "," ",IF($E12=$D$31,VLOOKUP($C12,'Valeurs Règlement Campagne'!$A$4:$T$7,20,FALSE),VLOOKUP($C12,'Valeurs Règlement Campagne'!$A$4:$P$7,9,FALSE)))</f>
        <v xml:space="preserve"> </v>
      </c>
      <c r="Q12" s="190" t="str">
        <f t="shared" si="6"/>
        <v xml:space="preserve"> </v>
      </c>
      <c r="R12" s="112" t="str" cm="1">
        <f t="array" ref="R12">IF(C12=" "," ",
IF(AND(E12="Connues",AC12&lt;&gt;"",
COUNTIFS(AC$5:AC$29,AC12,C$5:C$29,C12)&gt;1),
"Doublon",
IF(AND(E12="Connues",
SUMPRODUCT(
(E$5:E$29="Connues")*
(C$5:C$29=C12)*
(ROW($5:$29)&lt;&gt;ROW())*
(ABS(N(F$5:F$29)-N(F12))&lt;=2)*
(
(ABS(N(F$5:F$29)-N(IFERROR(VLOOKUP(C12,'Valeurs Règlement Campagne'!$A$4:$T$7,12,FALSE),0)))&lt;=2)+
(ABS(N(F$5:F$29)-N(IFERROR(VLOOKUP(C12,'Valeurs Règlement Campagne'!$A$4:$T$7,13,FALSE),0)))&lt;=2)+
(ABS(N(F$5:F$29)-N(IFERROR(VLOOKUP(C12,'Valeurs Règlement Campagne'!$A$4:$T$7,14,FALSE),0)))&lt;=2)
)
)&gt;0),
"Doublon",
IF($C12=0," ",
IF(N(F12)=0," ",
IF(E12="Inconnues",
AND(N(F12)&gt;=N(K12),N(F12)&lt;=N(L12)),
IF(AND('Valeurs Règlement Campagne'!$L$14="OUI",E12="Connues"),
AND(N(F12)&gt;=N(K12)-2,N(F12)&lt;=N(L12)+2),
OR(N(F12)=N(K12),N(F12)=N(K12)+5,N(F12)=N(L12))
)
)
)
)
)))</f>
        <v xml:space="preserve"> </v>
      </c>
      <c r="S12" s="113" t="str" cm="1">
        <f t="array" ref="S12">IF(C12=" "," ",
IF(AND(E12="Connues",AD12&lt;&gt;"",
COUNTIFS(AD$5:AD$29,AD12,C$5:C$29,C12)&gt;1),
"Doublon",
IF(AND(E12="Connues",
SUMPRODUCT(
(E$5:E$29="Connues")*
(C$5:C$29=C12)*
(ROW($5:$29)&lt;&gt;ROW())*
(ABS(N(G$5:G$29)-N(G12))&lt;=2)*
(
(ABS(N(G$5:G$29)-N(IFERROR(VLOOKUP(C12,'Valeurs Règlement Campagne'!$A$4:$T$7,15,FALSE),0)))&lt;=2)+
(ABS(N(G$5:G$29)-N(IFERROR(VLOOKUP(C12,'Valeurs Règlement Campagne'!$A$4:$T$7,16,FALSE),0)))&lt;=2)+
(ABS(N(G$5:G$29)-N(IFERROR(VLOOKUP(C12,'Valeurs Règlement Campagne'!$A$4:$T$7,17,FALSE),0)))&lt;=2)
)
)&gt;0),
"Doublon",
IF($C12=0," ",
IF(N(G12)=0," ",
IF(E12="Inconnues",
AND(N(G12)&gt;=N(M12),N(G12)&lt;=N(N12)),
IF(AND('Valeurs Règlement Campagne'!$L$14="OUI",E12="Connues"),
AND(N(G12)&gt;=N(M12)-2,N(G12)&lt;=N(N12)+2),
OR(N(G12)=N(M12),N(G12)=N(M12)+5,N(G12)=N(N12))
)
)
)
)
)))</f>
        <v xml:space="preserve"> </v>
      </c>
      <c r="T12" s="113" t="str" cm="1">
        <f t="array" ref="T12">IF(C12=" "," ",
IF(AND(E12="Connues",AE12&lt;&gt;"",
COUNTIFS(AE$5:AE$29,AE12,C$5:C$29,C12)&gt;1),
"Doublon",
IF(AND(E12="Connues",
SUMPRODUCT(
(E$5:E$29="Connues")*
(C$5:C$29=C12)*
(ROW($5:$29)&lt;&gt;ROW())*
(ABS(N(H$5:H$29)-N(H12))&lt;=2)*
(
(ABS(N(H$5:H$29)-N(IFERROR(VLOOKUP(C12,'Valeurs Règlement Campagne'!$A$4:$T$7,18,FALSE),0)))&lt;=2)+
(ABS(N(H$5:H$29)-N(IFERROR(VLOOKUP(C12,'Valeurs Règlement Campagne'!$A$4:$T$7,19,FALSE),0)))&lt;=2)+
(ABS(N(H$5:H$29)-N(IFERROR(VLOOKUP(C12,'Valeurs Règlement Campagne'!$A$4:$T$7,20,FALSE),0)))&lt;=2)
)
)&gt;0),
"Doublon",
IF($C12=0," ",
IF(N(H12)=0," ",
IF(E12="Inconnues",
AND(N(H12)&gt;=N(O12),N(H12)&lt;=N(P12)),
IF(AND('Valeurs Règlement Campagne'!$L$14="OUI",E12="Connues"),
AND(N(H12)&gt;=N(O12)-2,N(H12)&lt;=N(P12)+2),
OR(N(H12)=N(O12),N(H12)=N(O12)+5,N(H12)=N(P12))
)
)
)
)
)))</f>
        <v xml:space="preserve"> </v>
      </c>
      <c r="U12" s="192" t="str">
        <f>IF($C12=" "," ",IF(I12=" "," ",IF('Valeurs Règlement Campagne'!$L$14="OUI",AND(I12&gt;=O12-2,I12&lt;=Q12+2),OR(I12=O12,I12=O12+5,I12=Q12))))</f>
        <v xml:space="preserve"> </v>
      </c>
      <c r="V12" s="220" t="str">
        <f t="shared" si="1"/>
        <v xml:space="preserve"> </v>
      </c>
      <c r="W12" s="218"/>
      <c r="X12" s="218" t="str">
        <f t="shared" si="2"/>
        <v xml:space="preserve"> </v>
      </c>
      <c r="Y12" s="218"/>
      <c r="Z12" s="218" t="str">
        <f t="shared" si="3"/>
        <v xml:space="preserve"> </v>
      </c>
      <c r="AA12" s="252"/>
      <c r="AB12" s="110" t="str">
        <f t="shared" si="7"/>
        <v/>
      </c>
      <c r="AC12" s="100" t="str">
        <f>IF(
  E12="Connues",
  IF(
    ABS(F12 - VLOOKUP(C12,'Valeurs Règlement Campagne'!$A$4:$T$7,12,FALSE))&lt;=2,
    VLOOKUP(C12,'Valeurs Règlement Campagne'!$A$4:$T$7,12,FALSE),
    IF(
      ABS(F12 - VLOOKUP(C12,'Valeurs Règlement Campagne'!$A$4:$T$7,13,FALSE))&lt;=2,
      VLOOKUP(C12,'Valeurs Règlement Campagne'!$A$4:$T$7,13,FALSE),
      IF(
        ABS(F12 - VLOOKUP(C12,'Valeurs Règlement Campagne'!$A$4:$T$7,14,FALSE))&lt;=2,
        VLOOKUP(C12,'Valeurs Règlement Campagne'!$A$4:$T$7,14,FALSE),
        ""
      )
    )
  ),
  ""
)</f>
        <v/>
      </c>
      <c r="AD12" s="100" t="str">
        <f>IF(
  E12="Connues",
  IF(
    ABS(G12 - VLOOKUP(C12,'Valeurs Règlement Campagne'!$A$4:$T$7,15,FALSE))&lt;=2,
    VLOOKUP(C12,'Valeurs Règlement Campagne'!$A$4:$T$7,15,FALSE),
    IF(
      ABS(G12 - VLOOKUP(C12,'Valeurs Règlement Campagne'!$A$4:$T$7,16,FALSE))&lt;=2,
      VLOOKUP(C12,'Valeurs Règlement Campagne'!$A$4:$T$7,16,FALSE),
      IF(
        ABS(G12 - VLOOKUP(C12,'Valeurs Règlement Campagne'!$A$4:$T$7,17,FALSE))&lt;=2,
        VLOOKUP(C12,'Valeurs Règlement Campagne'!$A$4:$T$7,17,FALSE),
        ""
      )
    )
  ),
  ""
)</f>
        <v/>
      </c>
      <c r="AE12" s="100" t="str">
        <f>IF(
  E12="Connues",
  IF(
    ABS(H12 - VLOOKUP(C12,'Valeurs Règlement Campagne'!$A$4:$T$7,15,FALSE))&lt;=2,
    VLOOKUP(C12,'Valeurs Règlement Campagne'!$A$4:$T$7,15,FALSE),
    IF(
      ABS(H12 - VLOOKUP(C12,'Valeurs Règlement Campagne'!$A$4:$T$7,16,FALSE))&lt;=2,
      VLOOKUP(C12,'Valeurs Règlement Campagne'!$A$4:$T$7,16,FALSE),
      IF(
        ABS(H12 - VLOOKUP(C12,'Valeurs Règlement Campagne'!$A$4:$T$7,17,FALSE))&lt;=2,
        VLOOKUP(C12,'Valeurs Règlement Campagne'!$A$4:$T$7,17,FALSE),
        ""
      )
    )
  ),
  ""
)</f>
        <v/>
      </c>
    </row>
    <row r="13" spans="1:31" ht="20.75" customHeight="1">
      <c r="A13" s="213">
        <v>8</v>
      </c>
      <c r="B13" s="216" t="str">
        <f>IF(NOT(ISBLANK(Organisateur!B13)),Organisateur!B13," ")</f>
        <v xml:space="preserve"> </v>
      </c>
      <c r="C13" s="254" t="str">
        <f>IF(NOT(ISBLANK(Organisateur!C13)),Organisateur!C13," ")</f>
        <v xml:space="preserve"> </v>
      </c>
      <c r="D13" s="254"/>
      <c r="E13" s="210" t="str">
        <f>IF(NOT(ISBLANK(Organisateur!E13)),Organisateur!E13," ")</f>
        <v xml:space="preserve"> </v>
      </c>
      <c r="F13" s="183" t="str">
        <f>IF(NOT(ISBLANK(Organisateur!F13)),Organisateur!F13," ")</f>
        <v xml:space="preserve"> </v>
      </c>
      <c r="G13" s="183" t="str">
        <f>IF(NOT(ISBLANK(Organisateur!G13)),Organisateur!G13," ")</f>
        <v xml:space="preserve"> </v>
      </c>
      <c r="H13" s="183" t="str">
        <f>IF(NOT(ISBLANK(Organisateur!H13)),Organisateur!H13," ")</f>
        <v xml:space="preserve"> </v>
      </c>
      <c r="I13" s="183" t="str">
        <f>IF(NOT(ISBLANK(Organisateur!I13)),Organisateur!I13," ")</f>
        <v xml:space="preserve"> </v>
      </c>
      <c r="J13" s="101"/>
      <c r="K13" s="102" t="str">
        <f>IF($E13=" "," ",IF($E13=$D$31,VLOOKUP($C13,'Valeurs Règlement Campagne'!$A$4:$T$7,12,FALSE),VLOOKUP($C13,'Valeurs Règlement Campagne'!$A$4:$I$7,4,FALSE)))</f>
        <v xml:space="preserve"> </v>
      </c>
      <c r="L13" s="103" t="str">
        <f>IF($E13=" "," ",IF($E13=$D$31,VLOOKUP($C13,'Valeurs Règlement Campagne'!$A$4:$T$7,14,FALSE),VLOOKUP($C13,'Valeurs Règlement Campagne'!$A$4:$L$7,5,FALSE)))</f>
        <v xml:space="preserve"> </v>
      </c>
      <c r="M13" s="102" t="str">
        <f>IF($E13=" "," ",IF($E13=$D$31,VLOOKUP($C13,'Valeurs Règlement Campagne'!$A$4:$T$7,15,FALSE),VLOOKUP($C13,'Valeurs Règlement Campagne'!$A$4:$M$7,6,FALSE)))</f>
        <v xml:space="preserve"> </v>
      </c>
      <c r="N13" s="103" t="str">
        <f>IF($E13=" "," ",IF($E13=$D$31,VLOOKUP($C13,'Valeurs Règlement Campagne'!$A$4:$T$7,17,FALSE),VLOOKUP($C13,'Valeurs Règlement Campagne'!$A$4:$N$7,7,FALSE)))</f>
        <v xml:space="preserve"> </v>
      </c>
      <c r="O13" s="187" t="str">
        <f>IF($E13=" "," ",IF($E13=$D$31,VLOOKUP($C13,'Valeurs Règlement Campagne'!$A$4:$T$7,18,FALSE),VLOOKUP($C13,'Valeurs Règlement Campagne'!$A$4:$O$7,8,FALSE)))</f>
        <v xml:space="preserve"> </v>
      </c>
      <c r="P13" s="186" t="str">
        <f>IF($E13=" "," ",IF($E13=$D$31,VLOOKUP($C13,'Valeurs Règlement Campagne'!$A$4:$T$7,20,FALSE),VLOOKUP($C13,'Valeurs Règlement Campagne'!$A$4:$P$7,9,FALSE)))</f>
        <v xml:space="preserve"> </v>
      </c>
      <c r="Q13" s="190" t="str">
        <f t="shared" si="6"/>
        <v xml:space="preserve"> </v>
      </c>
      <c r="R13" s="112" t="str" cm="1">
        <f t="array" ref="R13">IF(C13=" "," ",
IF(AND(E13="Connues",AC13&lt;&gt;"",
COUNTIFS(AC$5:AC$29,AC13,C$5:C$29,C13)&gt;1),
"Doublon",
IF(AND(E13="Connues",
SUMPRODUCT(
(E$5:E$29="Connues")*
(C$5:C$29=C13)*
(ROW($5:$29)&lt;&gt;ROW())*
(ABS(N(F$5:F$29)-N(F13))&lt;=2)*
(
(ABS(N(F$5:F$29)-N(IFERROR(VLOOKUP(C13,'Valeurs Règlement Campagne'!$A$4:$T$7,12,FALSE),0)))&lt;=2)+
(ABS(N(F$5:F$29)-N(IFERROR(VLOOKUP(C13,'Valeurs Règlement Campagne'!$A$4:$T$7,13,FALSE),0)))&lt;=2)+
(ABS(N(F$5:F$29)-N(IFERROR(VLOOKUP(C13,'Valeurs Règlement Campagne'!$A$4:$T$7,14,FALSE),0)))&lt;=2)
)
)&gt;0),
"Doublon",
IF($C13=0," ",
IF(N(F13)=0," ",
IF(E13="Inconnues",
AND(N(F13)&gt;=N(K13),N(F13)&lt;=N(L13)),
IF(AND('Valeurs Règlement Campagne'!$L$14="OUI",E13="Connues"),
AND(N(F13)&gt;=N(K13)-2,N(F13)&lt;=N(L13)+2),
OR(N(F13)=N(K13),N(F13)=N(K13)+5,N(F13)=N(L13))
)
)
)
)
)))</f>
        <v xml:space="preserve"> </v>
      </c>
      <c r="S13" s="113" t="str" cm="1">
        <f t="array" ref="S13">IF(C13=" "," ",
IF(AND(E13="Connues",AD13&lt;&gt;"",
COUNTIFS(AD$5:AD$29,AD13,C$5:C$29,C13)&gt;1),
"Doublon",
IF(AND(E13="Connues",
SUMPRODUCT(
(E$5:E$29="Connues")*
(C$5:C$29=C13)*
(ROW($5:$29)&lt;&gt;ROW())*
(ABS(N(G$5:G$29)-N(G13))&lt;=2)*
(
(ABS(N(G$5:G$29)-N(IFERROR(VLOOKUP(C13,'Valeurs Règlement Campagne'!$A$4:$T$7,15,FALSE),0)))&lt;=2)+
(ABS(N(G$5:G$29)-N(IFERROR(VLOOKUP(C13,'Valeurs Règlement Campagne'!$A$4:$T$7,16,FALSE),0)))&lt;=2)+
(ABS(N(G$5:G$29)-N(IFERROR(VLOOKUP(C13,'Valeurs Règlement Campagne'!$A$4:$T$7,17,FALSE),0)))&lt;=2)
)
)&gt;0),
"Doublon",
IF($C13=0," ",
IF(N(G13)=0," ",
IF(E13="Inconnues",
AND(N(G13)&gt;=N(M13),N(G13)&lt;=N(N13)),
IF(AND('Valeurs Règlement Campagne'!$L$14="OUI",E13="Connues"),
AND(N(G13)&gt;=N(M13)-2,N(G13)&lt;=N(N13)+2),
OR(N(G13)=N(M13),N(G13)=N(M13)+5,N(G13)=N(N13))
)
)
)
)
)))</f>
        <v xml:space="preserve"> </v>
      </c>
      <c r="T13" s="113" t="str" cm="1">
        <f t="array" ref="T13">IF(C13=" "," ",
IF(AND(E13="Connues",AE13&lt;&gt;"",
COUNTIFS(AE$5:AE$29,AE13,C$5:C$29,C13)&gt;1),
"Doublon",
IF(AND(E13="Connues",
SUMPRODUCT(
(E$5:E$29="Connues")*
(C$5:C$29=C13)*
(ROW($5:$29)&lt;&gt;ROW())*
(ABS(N(H$5:H$29)-N(H13))&lt;=2)*
(
(ABS(N(H$5:H$29)-N(IFERROR(VLOOKUP(C13,'Valeurs Règlement Campagne'!$A$4:$T$7,18,FALSE),0)))&lt;=2)+
(ABS(N(H$5:H$29)-N(IFERROR(VLOOKUP(C13,'Valeurs Règlement Campagne'!$A$4:$T$7,19,FALSE),0)))&lt;=2)+
(ABS(N(H$5:H$29)-N(IFERROR(VLOOKUP(C13,'Valeurs Règlement Campagne'!$A$4:$T$7,20,FALSE),0)))&lt;=2)
)
)&gt;0),
"Doublon",
IF($C13=0," ",
IF(N(H13)=0," ",
IF(E13="Inconnues",
AND(N(H13)&gt;=N(O13),N(H13)&lt;=N(P13)),
IF(AND('Valeurs Règlement Campagne'!$L$14="OUI",E13="Connues"),
AND(N(H13)&gt;=N(O13)-2,N(H13)&lt;=N(P13)+2),
OR(N(H13)=N(O13),N(H13)=N(O13)+5,N(H13)=N(P13))
)
)
)
)
)))</f>
        <v xml:space="preserve"> </v>
      </c>
      <c r="U13" s="192" t="str">
        <f>IF($C13=" "," ",IF(I13=" "," ",IF('Valeurs Règlement Campagne'!$L$14="OUI",AND(I13&gt;=O13-2,I13&lt;=Q13+2),OR(I13=O13,I13=O13+5,I13=Q13))))</f>
        <v xml:space="preserve"> </v>
      </c>
      <c r="V13" s="220" t="str">
        <f t="shared" si="1"/>
        <v xml:space="preserve"> </v>
      </c>
      <c r="W13" s="218"/>
      <c r="X13" s="218" t="str">
        <f t="shared" si="2"/>
        <v xml:space="preserve"> </v>
      </c>
      <c r="Y13" s="218"/>
      <c r="Z13" s="218" t="str">
        <f t="shared" si="3"/>
        <v xml:space="preserve"> </v>
      </c>
      <c r="AA13" s="252"/>
      <c r="AB13" s="110" t="str">
        <f t="shared" si="7"/>
        <v/>
      </c>
      <c r="AC13" s="100" t="str">
        <f>IF(
  E13="Connues",
  IF(
    ABS(F13 - VLOOKUP(C13,'Valeurs Règlement Campagne'!$A$4:$T$7,12,FALSE))&lt;=2,
    VLOOKUP(C13,'Valeurs Règlement Campagne'!$A$4:$T$7,12,FALSE),
    IF(
      ABS(F13 - VLOOKUP(C13,'Valeurs Règlement Campagne'!$A$4:$T$7,13,FALSE))&lt;=2,
      VLOOKUP(C13,'Valeurs Règlement Campagne'!$A$4:$T$7,13,FALSE),
      IF(
        ABS(F13 - VLOOKUP(C13,'Valeurs Règlement Campagne'!$A$4:$T$7,14,FALSE))&lt;=2,
        VLOOKUP(C13,'Valeurs Règlement Campagne'!$A$4:$T$7,14,FALSE),
        ""
      )
    )
  ),
  ""
)</f>
        <v/>
      </c>
      <c r="AD13" s="100" t="str">
        <f>IF(
  E13="Connues",
  IF(
    ABS(G13 - VLOOKUP(C13,'Valeurs Règlement Campagne'!$A$4:$T$7,15,FALSE))&lt;=2,
    VLOOKUP(C13,'Valeurs Règlement Campagne'!$A$4:$T$7,15,FALSE),
    IF(
      ABS(G13 - VLOOKUP(C13,'Valeurs Règlement Campagne'!$A$4:$T$7,16,FALSE))&lt;=2,
      VLOOKUP(C13,'Valeurs Règlement Campagne'!$A$4:$T$7,16,FALSE),
      IF(
        ABS(G13 - VLOOKUP(C13,'Valeurs Règlement Campagne'!$A$4:$T$7,17,FALSE))&lt;=2,
        VLOOKUP(C13,'Valeurs Règlement Campagne'!$A$4:$T$7,17,FALSE),
        ""
      )
    )
  ),
  ""
)</f>
        <v/>
      </c>
      <c r="AE13" s="100" t="str">
        <f>IF(
  E13="Connues",
  IF(
    ABS(H13 - VLOOKUP(C13,'Valeurs Règlement Campagne'!$A$4:$T$7,15,FALSE))&lt;=2,
    VLOOKUP(C13,'Valeurs Règlement Campagne'!$A$4:$T$7,15,FALSE),
    IF(
      ABS(H13 - VLOOKUP(C13,'Valeurs Règlement Campagne'!$A$4:$T$7,16,FALSE))&lt;=2,
      VLOOKUP(C13,'Valeurs Règlement Campagne'!$A$4:$T$7,16,FALSE),
      IF(
        ABS(H13 - VLOOKUP(C13,'Valeurs Règlement Campagne'!$A$4:$T$7,17,FALSE))&lt;=2,
        VLOOKUP(C13,'Valeurs Règlement Campagne'!$A$4:$T$7,17,FALSE),
        ""
      )
    )
  ),
  ""
)</f>
        <v/>
      </c>
    </row>
    <row r="14" spans="1:31" ht="20.75" customHeight="1">
      <c r="A14" s="213">
        <v>9</v>
      </c>
      <c r="B14" s="216" t="str">
        <f>IF(NOT(ISBLANK(Organisateur!B14)),Organisateur!B14," ")</f>
        <v xml:space="preserve"> </v>
      </c>
      <c r="C14" s="254" t="str">
        <f>IF(NOT(ISBLANK(Organisateur!C14)),Organisateur!C14," ")</f>
        <v xml:space="preserve"> </v>
      </c>
      <c r="D14" s="254"/>
      <c r="E14" s="210" t="str">
        <f>IF(NOT(ISBLANK(Organisateur!E14)),Organisateur!E14," ")</f>
        <v xml:space="preserve"> </v>
      </c>
      <c r="F14" s="183" t="str">
        <f>IF(NOT(ISBLANK(Organisateur!F14)),Organisateur!F14," ")</f>
        <v xml:space="preserve"> </v>
      </c>
      <c r="G14" s="183" t="str">
        <f>IF(NOT(ISBLANK(Organisateur!G14)),Organisateur!G14," ")</f>
        <v xml:space="preserve"> </v>
      </c>
      <c r="H14" s="183" t="str">
        <f>IF(NOT(ISBLANK(Organisateur!H14)),Organisateur!H14," ")</f>
        <v xml:space="preserve"> </v>
      </c>
      <c r="I14" s="183" t="str">
        <f>IF(NOT(ISBLANK(Organisateur!I14)),Organisateur!I14," ")</f>
        <v xml:space="preserve"> </v>
      </c>
      <c r="J14" s="101"/>
      <c r="K14" s="102" t="str">
        <f>IF($E14=" "," ",IF($E14=$D$31,VLOOKUP($C14,'Valeurs Règlement Campagne'!$A$4:$T$7,12,FALSE),VLOOKUP($C14,'Valeurs Règlement Campagne'!$A$4:$I$7,4,FALSE)))</f>
        <v xml:space="preserve"> </v>
      </c>
      <c r="L14" s="103" t="str">
        <f>IF($E14=" "," ",IF($E14=$D$31,VLOOKUP($C14,'Valeurs Règlement Campagne'!$A$4:$T$7,14,FALSE),VLOOKUP($C14,'Valeurs Règlement Campagne'!$A$4:$L$7,5,FALSE)))</f>
        <v xml:space="preserve"> </v>
      </c>
      <c r="M14" s="102" t="str">
        <f>IF($E14=" "," ",IF($E14=$D$31,VLOOKUP($C14,'Valeurs Règlement Campagne'!$A$4:$T$7,15,FALSE),VLOOKUP($C14,'Valeurs Règlement Campagne'!$A$4:$M$7,6,FALSE)))</f>
        <v xml:space="preserve"> </v>
      </c>
      <c r="N14" s="103" t="str">
        <f>IF($E14=" "," ",IF($E14=$D$31,VLOOKUP($C14,'Valeurs Règlement Campagne'!$A$4:$T$7,17,FALSE),VLOOKUP($C14,'Valeurs Règlement Campagne'!$A$4:$N$7,7,FALSE)))</f>
        <v xml:space="preserve"> </v>
      </c>
      <c r="O14" s="187" t="str">
        <f>IF($E14=" "," ",IF($E14=$D$31,VLOOKUP($C14,'Valeurs Règlement Campagne'!$A$4:$T$7,18,FALSE),VLOOKUP($C14,'Valeurs Règlement Campagne'!$A$4:$O$7,8,FALSE)))</f>
        <v xml:space="preserve"> </v>
      </c>
      <c r="P14" s="186" t="str">
        <f>IF($E14=" "," ",IF($E14=$D$31,VLOOKUP($C14,'Valeurs Règlement Campagne'!$A$4:$T$7,20,FALSE),VLOOKUP($C14,'Valeurs Règlement Campagne'!$A$4:$P$7,9,FALSE)))</f>
        <v xml:space="preserve"> </v>
      </c>
      <c r="Q14" s="190" t="str">
        <f t="shared" si="6"/>
        <v xml:space="preserve"> </v>
      </c>
      <c r="R14" s="112" t="str" cm="1">
        <f t="array" ref="R14">IF(C14=" "," ",
IF(AND(E14="Connues",AC14&lt;&gt;"",
COUNTIFS(AC$5:AC$29,AC14,C$5:C$29,C14)&gt;1),
"Doublon",
IF(AND(E14="Connues",
SUMPRODUCT(
(E$5:E$29="Connues")*
(C$5:C$29=C14)*
(ROW($5:$29)&lt;&gt;ROW())*
(ABS(N(F$5:F$29)-N(F14))&lt;=2)*
(
(ABS(N(F$5:F$29)-N(IFERROR(VLOOKUP(C14,'Valeurs Règlement Campagne'!$A$4:$T$7,12,FALSE),0)))&lt;=2)+
(ABS(N(F$5:F$29)-N(IFERROR(VLOOKUP(C14,'Valeurs Règlement Campagne'!$A$4:$T$7,13,FALSE),0)))&lt;=2)+
(ABS(N(F$5:F$29)-N(IFERROR(VLOOKUP(C14,'Valeurs Règlement Campagne'!$A$4:$T$7,14,FALSE),0)))&lt;=2)
)
)&gt;0),
"Doublon",
IF($C14=0," ",
IF(N(F14)=0," ",
IF(E14="Inconnues",
AND(N(F14)&gt;=N(K14),N(F14)&lt;=N(L14)),
IF(AND('Valeurs Règlement Campagne'!$L$14="OUI",E14="Connues"),
AND(N(F14)&gt;=N(K14)-2,N(F14)&lt;=N(L14)+2),
OR(N(F14)=N(K14),N(F14)=N(K14)+5,N(F14)=N(L14))
)
)
)
)
)))</f>
        <v xml:space="preserve"> </v>
      </c>
      <c r="S14" s="113" t="str" cm="1">
        <f t="array" ref="S14">IF(C14=" "," ",
IF(AND(E14="Connues",AD14&lt;&gt;"",
COUNTIFS(AD$5:AD$29,AD14,C$5:C$29,C14)&gt;1),
"Doublon",
IF(AND(E14="Connues",
SUMPRODUCT(
(E$5:E$29="Connues")*
(C$5:C$29=C14)*
(ROW($5:$29)&lt;&gt;ROW())*
(ABS(N(G$5:G$29)-N(G14))&lt;=2)*
(
(ABS(N(G$5:G$29)-N(IFERROR(VLOOKUP(C14,'Valeurs Règlement Campagne'!$A$4:$T$7,15,FALSE),0)))&lt;=2)+
(ABS(N(G$5:G$29)-N(IFERROR(VLOOKUP(C14,'Valeurs Règlement Campagne'!$A$4:$T$7,16,FALSE),0)))&lt;=2)+
(ABS(N(G$5:G$29)-N(IFERROR(VLOOKUP(C14,'Valeurs Règlement Campagne'!$A$4:$T$7,17,FALSE),0)))&lt;=2)
)
)&gt;0),
"Doublon",
IF($C14=0," ",
IF(N(G14)=0," ",
IF(E14="Inconnues",
AND(N(G14)&gt;=N(M14),N(G14)&lt;=N(N14)),
IF(AND('Valeurs Règlement Campagne'!$L$14="OUI",E14="Connues"),
AND(N(G14)&gt;=N(M14)-2,N(G14)&lt;=N(N14)+2),
OR(N(G14)=N(M14),N(G14)=N(M14)+5,N(G14)=N(N14))
)
)
)
)
)))</f>
        <v xml:space="preserve"> </v>
      </c>
      <c r="T14" s="113" t="str" cm="1">
        <f t="array" ref="T14">IF(C14=" "," ",
IF(AND(E14="Connues",AE14&lt;&gt;"",
COUNTIFS(AE$5:AE$29,AE14,C$5:C$29,C14)&gt;1),
"Doublon",
IF(AND(E14="Connues",
SUMPRODUCT(
(E$5:E$29="Connues")*
(C$5:C$29=C14)*
(ROW($5:$29)&lt;&gt;ROW())*
(ABS(N(H$5:H$29)-N(H14))&lt;=2)*
(
(ABS(N(H$5:H$29)-N(IFERROR(VLOOKUP(C14,'Valeurs Règlement Campagne'!$A$4:$T$7,18,FALSE),0)))&lt;=2)+
(ABS(N(H$5:H$29)-N(IFERROR(VLOOKUP(C14,'Valeurs Règlement Campagne'!$A$4:$T$7,19,FALSE),0)))&lt;=2)+
(ABS(N(H$5:H$29)-N(IFERROR(VLOOKUP(C14,'Valeurs Règlement Campagne'!$A$4:$T$7,20,FALSE),0)))&lt;=2)
)
)&gt;0),
"Doublon",
IF($C14=0," ",
IF(N(H14)=0," ",
IF(E14="Inconnues",
AND(N(H14)&gt;=N(O14),N(H14)&lt;=N(P14)),
IF(AND('Valeurs Règlement Campagne'!$L$14="OUI",E14="Connues"),
AND(N(H14)&gt;=N(O14)-2,N(H14)&lt;=N(P14)+2),
OR(N(H14)=N(O14),N(H14)=N(O14)+5,N(H14)=N(P14))
)
)
)
)
)))</f>
        <v xml:space="preserve"> </v>
      </c>
      <c r="U14" s="192" t="str">
        <f>IF($C14=" "," ",IF(I14=" "," ",IF('Valeurs Règlement Campagne'!$L$14="OUI",AND(I14&gt;=O14-2,I14&lt;=Q14+2),OR(I14=O14,I14=O14+5,I14=Q14))))</f>
        <v xml:space="preserve"> </v>
      </c>
      <c r="V14" s="220" t="str">
        <f t="shared" si="1"/>
        <v xml:space="preserve"> </v>
      </c>
      <c r="W14" s="218"/>
      <c r="X14" s="218" t="str">
        <f t="shared" si="2"/>
        <v xml:space="preserve"> </v>
      </c>
      <c r="Y14" s="218"/>
      <c r="Z14" s="218" t="str">
        <f t="shared" si="3"/>
        <v xml:space="preserve"> </v>
      </c>
      <c r="AA14" s="252"/>
      <c r="AB14" s="110" t="str">
        <f t="shared" si="7"/>
        <v/>
      </c>
      <c r="AC14" s="100" t="str">
        <f>IF(
  E14="Connues",
  IF(
    ABS(F14 - VLOOKUP(C14,'Valeurs Règlement Campagne'!$A$4:$T$7,12,FALSE))&lt;=2,
    VLOOKUP(C14,'Valeurs Règlement Campagne'!$A$4:$T$7,12,FALSE),
    IF(
      ABS(F14 - VLOOKUP(C14,'Valeurs Règlement Campagne'!$A$4:$T$7,13,FALSE))&lt;=2,
      VLOOKUP(C14,'Valeurs Règlement Campagne'!$A$4:$T$7,13,FALSE),
      IF(
        ABS(F14 - VLOOKUP(C14,'Valeurs Règlement Campagne'!$A$4:$T$7,14,FALSE))&lt;=2,
        VLOOKUP(C14,'Valeurs Règlement Campagne'!$A$4:$T$7,14,FALSE),
        ""
      )
    )
  ),
  ""
)</f>
        <v/>
      </c>
      <c r="AD14" s="100" t="str">
        <f>IF(
  E14="Connues",
  IF(
    ABS(G14 - VLOOKUP(C14,'Valeurs Règlement Campagne'!$A$4:$T$7,15,FALSE))&lt;=2,
    VLOOKUP(C14,'Valeurs Règlement Campagne'!$A$4:$T$7,15,FALSE),
    IF(
      ABS(G14 - VLOOKUP(C14,'Valeurs Règlement Campagne'!$A$4:$T$7,16,FALSE))&lt;=2,
      VLOOKUP(C14,'Valeurs Règlement Campagne'!$A$4:$T$7,16,FALSE),
      IF(
        ABS(G14 - VLOOKUP(C14,'Valeurs Règlement Campagne'!$A$4:$T$7,17,FALSE))&lt;=2,
        VLOOKUP(C14,'Valeurs Règlement Campagne'!$A$4:$T$7,17,FALSE),
        ""
      )
    )
  ),
  ""
)</f>
        <v/>
      </c>
      <c r="AE14" s="100" t="str">
        <f>IF(
  E14="Connues",
  IF(
    ABS(H14 - VLOOKUP(C14,'Valeurs Règlement Campagne'!$A$4:$T$7,15,FALSE))&lt;=2,
    VLOOKUP(C14,'Valeurs Règlement Campagne'!$A$4:$T$7,15,FALSE),
    IF(
      ABS(H14 - VLOOKUP(C14,'Valeurs Règlement Campagne'!$A$4:$T$7,16,FALSE))&lt;=2,
      VLOOKUP(C14,'Valeurs Règlement Campagne'!$A$4:$T$7,16,FALSE),
      IF(
        ABS(H14 - VLOOKUP(C14,'Valeurs Règlement Campagne'!$A$4:$T$7,17,FALSE))&lt;=2,
        VLOOKUP(C14,'Valeurs Règlement Campagne'!$A$4:$T$7,17,FALSE),
        ""
      )
    )
  ),
  ""
)</f>
        <v/>
      </c>
    </row>
    <row r="15" spans="1:31" ht="20.75" customHeight="1">
      <c r="A15" s="213">
        <v>10</v>
      </c>
      <c r="B15" s="216" t="str">
        <f>IF(NOT(ISBLANK(Organisateur!B15)),Organisateur!B15," ")</f>
        <v xml:space="preserve"> </v>
      </c>
      <c r="C15" s="254" t="str">
        <f>IF(NOT(ISBLANK(Organisateur!C15)),Organisateur!C15," ")</f>
        <v xml:space="preserve"> </v>
      </c>
      <c r="D15" s="254"/>
      <c r="E15" s="210" t="str">
        <f>IF(NOT(ISBLANK(Organisateur!E15)),Organisateur!E15," ")</f>
        <v xml:space="preserve"> </v>
      </c>
      <c r="F15" s="183" t="str">
        <f>IF(NOT(ISBLANK(Organisateur!F15)),Organisateur!F15," ")</f>
        <v xml:space="preserve"> </v>
      </c>
      <c r="G15" s="183" t="str">
        <f>IF(NOT(ISBLANK(Organisateur!G15)),Organisateur!G15," ")</f>
        <v xml:space="preserve"> </v>
      </c>
      <c r="H15" s="183" t="str">
        <f>IF(NOT(ISBLANK(Organisateur!H15)),Organisateur!H15," ")</f>
        <v xml:space="preserve"> </v>
      </c>
      <c r="I15" s="183" t="str">
        <f>IF(NOT(ISBLANK(Organisateur!I15)),Organisateur!I15," ")</f>
        <v xml:space="preserve"> </v>
      </c>
      <c r="J15" s="101"/>
      <c r="K15" s="102" t="str">
        <f>IF($E15=" "," ",IF($E15=$D$31,VLOOKUP($C15,'Valeurs Règlement Campagne'!$A$4:$T$7,12,FALSE),VLOOKUP($C15,'Valeurs Règlement Campagne'!$A$4:$I$7,4,FALSE)))</f>
        <v xml:space="preserve"> </v>
      </c>
      <c r="L15" s="103" t="str">
        <f>IF($E15=" "," ",IF($E15=$D$31,VLOOKUP($C15,'Valeurs Règlement Campagne'!$A$4:$T$7,14,FALSE),VLOOKUP($C15,'Valeurs Règlement Campagne'!$A$4:$L$7,5,FALSE)))</f>
        <v xml:space="preserve"> </v>
      </c>
      <c r="M15" s="102" t="str">
        <f>IF($E15=" "," ",IF($E15=$D$31,VLOOKUP($C15,'Valeurs Règlement Campagne'!$A$4:$T$7,15,FALSE),VLOOKUP($C15,'Valeurs Règlement Campagne'!$A$4:$M$7,6,FALSE)))</f>
        <v xml:space="preserve"> </v>
      </c>
      <c r="N15" s="103" t="str">
        <f>IF($E15=" "," ",IF($E15=$D$31,VLOOKUP($C15,'Valeurs Règlement Campagne'!$A$4:$T$7,17,FALSE),VLOOKUP($C15,'Valeurs Règlement Campagne'!$A$4:$N$7,7,FALSE)))</f>
        <v xml:space="preserve"> </v>
      </c>
      <c r="O15" s="187" t="str">
        <f>IF($E15=" "," ",IF($E15=$D$31,VLOOKUP($C15,'Valeurs Règlement Campagne'!$A$4:$T$7,18,FALSE),VLOOKUP($C15,'Valeurs Règlement Campagne'!$A$4:$O$7,8,FALSE)))</f>
        <v xml:space="preserve"> </v>
      </c>
      <c r="P15" s="186" t="str">
        <f>IF($E15=" "," ",IF($E15=$D$31,VLOOKUP($C15,'Valeurs Règlement Campagne'!$A$4:$T$7,20,FALSE),VLOOKUP($C15,'Valeurs Règlement Campagne'!$A$4:$P$7,9,FALSE)))</f>
        <v xml:space="preserve"> </v>
      </c>
      <c r="Q15" s="190" t="str">
        <f t="shared" si="6"/>
        <v xml:space="preserve"> </v>
      </c>
      <c r="R15" s="112" t="str" cm="1">
        <f t="array" ref="R15">IF(C15=" "," ",
IF(AND(E15="Connues",AC15&lt;&gt;"",
COUNTIFS(AC$5:AC$29,AC15,C$5:C$29,C15)&gt;1),
"Doublon",
IF(AND(E15="Connues",
SUMPRODUCT(
(E$5:E$29="Connues")*
(C$5:C$29=C15)*
(ROW($5:$29)&lt;&gt;ROW())*
(ABS(N(F$5:F$29)-N(F15))&lt;=2)*
(
(ABS(N(F$5:F$29)-N(IFERROR(VLOOKUP(C15,'Valeurs Règlement Campagne'!$A$4:$T$7,12,FALSE),0)))&lt;=2)+
(ABS(N(F$5:F$29)-N(IFERROR(VLOOKUP(C15,'Valeurs Règlement Campagne'!$A$4:$T$7,13,FALSE),0)))&lt;=2)+
(ABS(N(F$5:F$29)-N(IFERROR(VLOOKUP(C15,'Valeurs Règlement Campagne'!$A$4:$T$7,14,FALSE),0)))&lt;=2)
)
)&gt;0),
"Doublon",
IF($C15=0," ",
IF(N(F15)=0," ",
IF(E15="Inconnues",
AND(N(F15)&gt;=N(K15),N(F15)&lt;=N(L15)),
IF(AND('Valeurs Règlement Campagne'!$L$14="OUI",E15="Connues"),
AND(N(F15)&gt;=N(K15)-2,N(F15)&lt;=N(L15)+2),
OR(N(F15)=N(K15),N(F15)=N(K15)+5,N(F15)=N(L15))
)
)
)
)
)))</f>
        <v xml:space="preserve"> </v>
      </c>
      <c r="S15" s="113" t="str" cm="1">
        <f t="array" ref="S15">IF(C15=" "," ",
IF(AND(E15="Connues",AD15&lt;&gt;"",
COUNTIFS(AD$5:AD$29,AD15,C$5:C$29,C15)&gt;1),
"Doublon",
IF(AND(E15="Connues",
SUMPRODUCT(
(E$5:E$29="Connues")*
(C$5:C$29=C15)*
(ROW($5:$29)&lt;&gt;ROW())*
(ABS(N(G$5:G$29)-N(G15))&lt;=2)*
(
(ABS(N(G$5:G$29)-N(IFERROR(VLOOKUP(C15,'Valeurs Règlement Campagne'!$A$4:$T$7,15,FALSE),0)))&lt;=2)+
(ABS(N(G$5:G$29)-N(IFERROR(VLOOKUP(C15,'Valeurs Règlement Campagne'!$A$4:$T$7,16,FALSE),0)))&lt;=2)+
(ABS(N(G$5:G$29)-N(IFERROR(VLOOKUP(C15,'Valeurs Règlement Campagne'!$A$4:$T$7,17,FALSE),0)))&lt;=2)
)
)&gt;0),
"Doublon",
IF($C15=0," ",
IF(N(G15)=0," ",
IF(E15="Inconnues",
AND(N(G15)&gt;=N(M15),N(G15)&lt;=N(N15)),
IF(AND('Valeurs Règlement Campagne'!$L$14="OUI",E15="Connues"),
AND(N(G15)&gt;=N(M15)-2,N(G15)&lt;=N(N15)+2),
OR(N(G15)=N(M15),N(G15)=N(M15)+5,N(G15)=N(N15))
)
)
)
)
)))</f>
        <v xml:space="preserve"> </v>
      </c>
      <c r="T15" s="113" t="str" cm="1">
        <f t="array" ref="T15">IF(C15=" "," ",
IF(AND(E15="Connues",AE15&lt;&gt;"",
COUNTIFS(AE$5:AE$29,AE15,C$5:C$29,C15)&gt;1),
"Doublon",
IF(AND(E15="Connues",
SUMPRODUCT(
(E$5:E$29="Connues")*
(C$5:C$29=C15)*
(ROW($5:$29)&lt;&gt;ROW())*
(ABS(N(H$5:H$29)-N(H15))&lt;=2)*
(
(ABS(N(H$5:H$29)-N(IFERROR(VLOOKUP(C15,'Valeurs Règlement Campagne'!$A$4:$T$7,18,FALSE),0)))&lt;=2)+
(ABS(N(H$5:H$29)-N(IFERROR(VLOOKUP(C15,'Valeurs Règlement Campagne'!$A$4:$T$7,19,FALSE),0)))&lt;=2)+
(ABS(N(H$5:H$29)-N(IFERROR(VLOOKUP(C15,'Valeurs Règlement Campagne'!$A$4:$T$7,20,FALSE),0)))&lt;=2)
)
)&gt;0),
"Doublon",
IF($C15=0," ",
IF(N(H15)=0," ",
IF(E15="Inconnues",
AND(N(H15)&gt;=N(O15),N(H15)&lt;=N(P15)),
IF(AND('Valeurs Règlement Campagne'!$L$14="OUI",E15="Connues"),
AND(N(H15)&gt;=N(O15)-2,N(H15)&lt;=N(P15)+2),
OR(N(H15)=N(O15),N(H15)=N(O15)+5,N(H15)=N(P15))
)
)
)
)
)))</f>
        <v xml:space="preserve"> </v>
      </c>
      <c r="U15" s="192" t="str">
        <f>IF($C15=" "," ",IF(I15=" "," ",IF('Valeurs Règlement Campagne'!$L$14="OUI",AND(I15&gt;=O15-2,I15&lt;=Q15+2),OR(I15=O15,I15=O15+5,I15=Q15))))</f>
        <v xml:space="preserve"> </v>
      </c>
      <c r="V15" s="220" t="str">
        <f t="shared" si="1"/>
        <v xml:space="preserve"> </v>
      </c>
      <c r="W15" s="218"/>
      <c r="X15" s="218" t="str">
        <f t="shared" si="2"/>
        <v xml:space="preserve"> </v>
      </c>
      <c r="Y15" s="218"/>
      <c r="Z15" s="218" t="str">
        <f t="shared" si="3"/>
        <v xml:space="preserve"> </v>
      </c>
      <c r="AA15" s="252"/>
      <c r="AB15" s="110" t="str">
        <f t="shared" si="7"/>
        <v/>
      </c>
      <c r="AC15" s="100" t="str">
        <f>IF(
  E15="Connues",
  IF(
    ABS(F15 - VLOOKUP(C15,'Valeurs Règlement Campagne'!$A$4:$T$7,12,FALSE))&lt;=2,
    VLOOKUP(C15,'Valeurs Règlement Campagne'!$A$4:$T$7,12,FALSE),
    IF(
      ABS(F15 - VLOOKUP(C15,'Valeurs Règlement Campagne'!$A$4:$T$7,13,FALSE))&lt;=2,
      VLOOKUP(C15,'Valeurs Règlement Campagne'!$A$4:$T$7,13,FALSE),
      IF(
        ABS(F15 - VLOOKUP(C15,'Valeurs Règlement Campagne'!$A$4:$T$7,14,FALSE))&lt;=2,
        VLOOKUP(C15,'Valeurs Règlement Campagne'!$A$4:$T$7,14,FALSE),
        ""
      )
    )
  ),
  ""
)</f>
        <v/>
      </c>
      <c r="AD15" s="100" t="str">
        <f>IF(
  E15="Connues",
  IF(
    ABS(G15 - VLOOKUP(C15,'Valeurs Règlement Campagne'!$A$4:$T$7,15,FALSE))&lt;=2,
    VLOOKUP(C15,'Valeurs Règlement Campagne'!$A$4:$T$7,15,FALSE),
    IF(
      ABS(G15 - VLOOKUP(C15,'Valeurs Règlement Campagne'!$A$4:$T$7,16,FALSE))&lt;=2,
      VLOOKUP(C15,'Valeurs Règlement Campagne'!$A$4:$T$7,16,FALSE),
      IF(
        ABS(G15 - VLOOKUP(C15,'Valeurs Règlement Campagne'!$A$4:$T$7,17,FALSE))&lt;=2,
        VLOOKUP(C15,'Valeurs Règlement Campagne'!$A$4:$T$7,17,FALSE),
        ""
      )
    )
  ),
  ""
)</f>
        <v/>
      </c>
      <c r="AE15" s="100" t="str">
        <f>IF(
  E15="Connues",
  IF(
    ABS(H15 - VLOOKUP(C15,'Valeurs Règlement Campagne'!$A$4:$T$7,15,FALSE))&lt;=2,
    VLOOKUP(C15,'Valeurs Règlement Campagne'!$A$4:$T$7,15,FALSE),
    IF(
      ABS(H15 - VLOOKUP(C15,'Valeurs Règlement Campagne'!$A$4:$T$7,16,FALSE))&lt;=2,
      VLOOKUP(C15,'Valeurs Règlement Campagne'!$A$4:$T$7,16,FALSE),
      IF(
        ABS(H15 - VLOOKUP(C15,'Valeurs Règlement Campagne'!$A$4:$T$7,17,FALSE))&lt;=2,
        VLOOKUP(C15,'Valeurs Règlement Campagne'!$A$4:$T$7,17,FALSE),
        ""
      )
    )
  ),
  ""
)</f>
        <v/>
      </c>
    </row>
    <row r="16" spans="1:31" ht="20.75" customHeight="1">
      <c r="A16" s="213">
        <v>11</v>
      </c>
      <c r="B16" s="216" t="str">
        <f>IF(NOT(ISBLANK(Organisateur!B16)),Organisateur!B16," ")</f>
        <v xml:space="preserve"> </v>
      </c>
      <c r="C16" s="254" t="str">
        <f>IF(NOT(ISBLANK(Organisateur!C16)),Organisateur!C16," ")</f>
        <v xml:space="preserve"> </v>
      </c>
      <c r="D16" s="254"/>
      <c r="E16" s="210" t="str">
        <f>IF(NOT(ISBLANK(Organisateur!E16)),Organisateur!E16," ")</f>
        <v xml:space="preserve"> </v>
      </c>
      <c r="F16" s="183" t="str">
        <f>IF(NOT(ISBLANK(Organisateur!F16)),Organisateur!F16," ")</f>
        <v xml:space="preserve"> </v>
      </c>
      <c r="G16" s="183" t="str">
        <f>IF(NOT(ISBLANK(Organisateur!G16)),Organisateur!G16," ")</f>
        <v xml:space="preserve"> </v>
      </c>
      <c r="H16" s="183" t="str">
        <f>IF(NOT(ISBLANK(Organisateur!H16)),Organisateur!H16," ")</f>
        <v xml:space="preserve"> </v>
      </c>
      <c r="I16" s="183" t="str">
        <f>IF(NOT(ISBLANK(Organisateur!I16)),Organisateur!I16," ")</f>
        <v xml:space="preserve"> </v>
      </c>
      <c r="J16" s="101"/>
      <c r="K16" s="102" t="str">
        <f>IF($E16=" "," ",IF($E16=$D$31,VLOOKUP($C16,'Valeurs Règlement Campagne'!$A$4:$T$7,12,FALSE),VLOOKUP($C16,'Valeurs Règlement Campagne'!$A$4:$I$7,4,FALSE)))</f>
        <v xml:space="preserve"> </v>
      </c>
      <c r="L16" s="103" t="str">
        <f>IF($E16=" "," ",IF($E16=$D$31,VLOOKUP($C16,'Valeurs Règlement Campagne'!$A$4:$T$7,14,FALSE),VLOOKUP($C16,'Valeurs Règlement Campagne'!$A$4:$L$7,5,FALSE)))</f>
        <v xml:space="preserve"> </v>
      </c>
      <c r="M16" s="102" t="str">
        <f>IF($E16=" "," ",IF($E16=$D$31,VLOOKUP($C16,'Valeurs Règlement Campagne'!$A$4:$T$7,15,FALSE),VLOOKUP($C16,'Valeurs Règlement Campagne'!$A$4:$M$7,6,FALSE)))</f>
        <v xml:space="preserve"> </v>
      </c>
      <c r="N16" s="103" t="str">
        <f>IF($E16=" "," ",IF($E16=$D$31,VLOOKUP($C16,'Valeurs Règlement Campagne'!$A$4:$T$7,17,FALSE),VLOOKUP($C16,'Valeurs Règlement Campagne'!$A$4:$N$7,7,FALSE)))</f>
        <v xml:space="preserve"> </v>
      </c>
      <c r="O16" s="187" t="str">
        <f>IF($E16=" "," ",IF($E16=$D$31,VLOOKUP($C16,'Valeurs Règlement Campagne'!$A$4:$T$7,18,FALSE),VLOOKUP($C16,'Valeurs Règlement Campagne'!$A$4:$O$7,8,FALSE)))</f>
        <v xml:space="preserve"> </v>
      </c>
      <c r="P16" s="186" t="str">
        <f>IF($E16=" "," ",IF($E16=$D$31,VLOOKUP($C16,'Valeurs Règlement Campagne'!$A$4:$T$7,20,FALSE),VLOOKUP($C16,'Valeurs Règlement Campagne'!$A$4:$P$7,9,FALSE)))</f>
        <v xml:space="preserve"> </v>
      </c>
      <c r="Q16" s="190" t="str">
        <f t="shared" si="6"/>
        <v xml:space="preserve"> </v>
      </c>
      <c r="R16" s="112" t="str" cm="1">
        <f t="array" ref="R16">IF(C16=" "," ",
IF(AND(E16="Connues",AC16&lt;&gt;"",
COUNTIFS(AC$5:AC$29,AC16,C$5:C$29,C16)&gt;1),
"Doublon",
IF(AND(E16="Connues",
SUMPRODUCT(
(E$5:E$29="Connues")*
(C$5:C$29=C16)*
(ROW($5:$29)&lt;&gt;ROW())*
(ABS(N(F$5:F$29)-N(F16))&lt;=2)*
(
(ABS(N(F$5:F$29)-N(IFERROR(VLOOKUP(C16,'Valeurs Règlement Campagne'!$A$4:$T$7,12,FALSE),0)))&lt;=2)+
(ABS(N(F$5:F$29)-N(IFERROR(VLOOKUP(C16,'Valeurs Règlement Campagne'!$A$4:$T$7,13,FALSE),0)))&lt;=2)+
(ABS(N(F$5:F$29)-N(IFERROR(VLOOKUP(C16,'Valeurs Règlement Campagne'!$A$4:$T$7,14,FALSE),0)))&lt;=2)
)
)&gt;0),
"Doublon",
IF($C16=0," ",
IF(N(F16)=0," ",
IF(E16="Inconnues",
AND(N(F16)&gt;=N(K16),N(F16)&lt;=N(L16)),
IF(AND('Valeurs Règlement Campagne'!$L$14="OUI",E16="Connues"),
AND(N(F16)&gt;=N(K16)-2,N(F16)&lt;=N(L16)+2),
OR(N(F16)=N(K16),N(F16)=N(K16)+5,N(F16)=N(L16))
)
)
)
)
)))</f>
        <v xml:space="preserve"> </v>
      </c>
      <c r="S16" s="113" t="str" cm="1">
        <f t="array" ref="S16">IF(C16=" "," ",
IF(AND(E16="Connues",AD16&lt;&gt;"",
COUNTIFS(AD$5:AD$29,AD16,C$5:C$29,C16)&gt;1),
"Doublon",
IF(AND(E16="Connues",
SUMPRODUCT(
(E$5:E$29="Connues")*
(C$5:C$29=C16)*
(ROW($5:$29)&lt;&gt;ROW())*
(ABS(N(G$5:G$29)-N(G16))&lt;=2)*
(
(ABS(N(G$5:G$29)-N(IFERROR(VLOOKUP(C16,'Valeurs Règlement Campagne'!$A$4:$T$7,15,FALSE),0)))&lt;=2)+
(ABS(N(G$5:G$29)-N(IFERROR(VLOOKUP(C16,'Valeurs Règlement Campagne'!$A$4:$T$7,16,FALSE),0)))&lt;=2)+
(ABS(N(G$5:G$29)-N(IFERROR(VLOOKUP(C16,'Valeurs Règlement Campagne'!$A$4:$T$7,17,FALSE),0)))&lt;=2)
)
)&gt;0),
"Doublon",
IF($C16=0," ",
IF(N(G16)=0," ",
IF(E16="Inconnues",
AND(N(G16)&gt;=N(M16),N(G16)&lt;=N(N16)),
IF(AND('Valeurs Règlement Campagne'!$L$14="OUI",E16="Connues"),
AND(N(G16)&gt;=N(M16)-2,N(G16)&lt;=N(N16)+2),
OR(N(G16)=N(M16),N(G16)=N(M16)+5,N(G16)=N(N16))
)
)
)
)
)))</f>
        <v xml:space="preserve"> </v>
      </c>
      <c r="T16" s="113" t="str" cm="1">
        <f t="array" ref="T16">IF(C16=" "," ",
IF(AND(E16="Connues",AE16&lt;&gt;"",
COUNTIFS(AE$5:AE$29,AE16,C$5:C$29,C16)&gt;1),
"Doublon",
IF(AND(E16="Connues",
SUMPRODUCT(
(E$5:E$29="Connues")*
(C$5:C$29=C16)*
(ROW($5:$29)&lt;&gt;ROW())*
(ABS(N(H$5:H$29)-N(H16))&lt;=2)*
(
(ABS(N(H$5:H$29)-N(IFERROR(VLOOKUP(C16,'Valeurs Règlement Campagne'!$A$4:$T$7,18,FALSE),0)))&lt;=2)+
(ABS(N(H$5:H$29)-N(IFERROR(VLOOKUP(C16,'Valeurs Règlement Campagne'!$A$4:$T$7,19,FALSE),0)))&lt;=2)+
(ABS(N(H$5:H$29)-N(IFERROR(VLOOKUP(C16,'Valeurs Règlement Campagne'!$A$4:$T$7,20,FALSE),0)))&lt;=2)
)
)&gt;0),
"Doublon",
IF($C16=0," ",
IF(N(H16)=0," ",
IF(E16="Inconnues",
AND(N(H16)&gt;=N(O16),N(H16)&lt;=N(P16)),
IF(AND('Valeurs Règlement Campagne'!$L$14="OUI",E16="Connues"),
AND(N(H16)&gt;=N(O16)-2,N(H16)&lt;=N(P16)+2),
OR(N(H16)=N(O16),N(H16)=N(O16)+5,N(H16)=N(P16))
)
)
)
)
)))</f>
        <v xml:space="preserve"> </v>
      </c>
      <c r="U16" s="192" t="str">
        <f>IF($C16=" "," ",IF(I16=" "," ",IF('Valeurs Règlement Campagne'!$L$14="OUI",AND(I16&gt;=O16-2,I16&lt;=Q16+2),OR(I16=O16,I16=O16+5,I16=Q16))))</f>
        <v xml:space="preserve"> </v>
      </c>
      <c r="V16" s="220" t="str">
        <f t="shared" si="1"/>
        <v xml:space="preserve"> </v>
      </c>
      <c r="W16" s="218"/>
      <c r="X16" s="218" t="str">
        <f t="shared" si="2"/>
        <v xml:space="preserve"> </v>
      </c>
      <c r="Y16" s="218"/>
      <c r="Z16" s="218" t="str">
        <f t="shared" si="3"/>
        <v xml:space="preserve"> </v>
      </c>
      <c r="AA16" s="252"/>
      <c r="AB16" s="110" t="str">
        <f t="shared" si="7"/>
        <v/>
      </c>
      <c r="AC16" s="100" t="str">
        <f>IF(
  E16="Connues",
  IF(
    ABS(F16 - VLOOKUP(C16,'Valeurs Règlement Campagne'!$A$4:$T$7,12,FALSE))&lt;=2,
    VLOOKUP(C16,'Valeurs Règlement Campagne'!$A$4:$T$7,12,FALSE),
    IF(
      ABS(F16 - VLOOKUP(C16,'Valeurs Règlement Campagne'!$A$4:$T$7,13,FALSE))&lt;=2,
      VLOOKUP(C16,'Valeurs Règlement Campagne'!$A$4:$T$7,13,FALSE),
      IF(
        ABS(F16 - VLOOKUP(C16,'Valeurs Règlement Campagne'!$A$4:$T$7,14,FALSE))&lt;=2,
        VLOOKUP(C16,'Valeurs Règlement Campagne'!$A$4:$T$7,14,FALSE),
        ""
      )
    )
  ),
  ""
)</f>
        <v/>
      </c>
      <c r="AD16" s="100" t="str">
        <f>IF(
  E16="Connues",
  IF(
    ABS(G16 - VLOOKUP(C16,'Valeurs Règlement Campagne'!$A$4:$T$7,15,FALSE))&lt;=2,
    VLOOKUP(C16,'Valeurs Règlement Campagne'!$A$4:$T$7,15,FALSE),
    IF(
      ABS(G16 - VLOOKUP(C16,'Valeurs Règlement Campagne'!$A$4:$T$7,16,FALSE))&lt;=2,
      VLOOKUP(C16,'Valeurs Règlement Campagne'!$A$4:$T$7,16,FALSE),
      IF(
        ABS(G16 - VLOOKUP(C16,'Valeurs Règlement Campagne'!$A$4:$T$7,17,FALSE))&lt;=2,
        VLOOKUP(C16,'Valeurs Règlement Campagne'!$A$4:$T$7,17,FALSE),
        ""
      )
    )
  ),
  ""
)</f>
        <v/>
      </c>
      <c r="AE16" s="100" t="str">
        <f>IF(
  E16="Connues",
  IF(
    ABS(H16 - VLOOKUP(C16,'Valeurs Règlement Campagne'!$A$4:$T$7,15,FALSE))&lt;=2,
    VLOOKUP(C16,'Valeurs Règlement Campagne'!$A$4:$T$7,15,FALSE),
    IF(
      ABS(H16 - VLOOKUP(C16,'Valeurs Règlement Campagne'!$A$4:$T$7,16,FALSE))&lt;=2,
      VLOOKUP(C16,'Valeurs Règlement Campagne'!$A$4:$T$7,16,FALSE),
      IF(
        ABS(H16 - VLOOKUP(C16,'Valeurs Règlement Campagne'!$A$4:$T$7,17,FALSE))&lt;=2,
        VLOOKUP(C16,'Valeurs Règlement Campagne'!$A$4:$T$7,17,FALSE),
        ""
      )
    )
  ),
  ""
)</f>
        <v/>
      </c>
    </row>
    <row r="17" spans="1:212" ht="20.75" customHeight="1">
      <c r="A17" s="213">
        <v>12</v>
      </c>
      <c r="B17" s="216" t="str">
        <f>IF(NOT(ISBLANK(Organisateur!B17)),Organisateur!B17," ")</f>
        <v xml:space="preserve"> </v>
      </c>
      <c r="C17" s="254" t="str">
        <f>IF(NOT(ISBLANK(Organisateur!C17)),Organisateur!C17," ")</f>
        <v xml:space="preserve"> </v>
      </c>
      <c r="D17" s="254"/>
      <c r="E17" s="210" t="str">
        <f>IF(NOT(ISBLANK(Organisateur!E17)),Organisateur!E17," ")</f>
        <v xml:space="preserve"> </v>
      </c>
      <c r="F17" s="183" t="str">
        <f>IF(NOT(ISBLANK(Organisateur!F17)),Organisateur!F17," ")</f>
        <v xml:space="preserve"> </v>
      </c>
      <c r="G17" s="183" t="str">
        <f>IF(NOT(ISBLANK(Organisateur!G17)),Organisateur!G17," ")</f>
        <v xml:space="preserve"> </v>
      </c>
      <c r="H17" s="183" t="str">
        <f>IF(NOT(ISBLANK(Organisateur!H17)),Organisateur!H17," ")</f>
        <v xml:space="preserve"> </v>
      </c>
      <c r="I17" s="183" t="str">
        <f>IF(NOT(ISBLANK(Organisateur!I17)),Organisateur!I17," ")</f>
        <v xml:space="preserve"> </v>
      </c>
      <c r="J17" s="101"/>
      <c r="K17" s="102" t="str">
        <f>IF($E17=" "," ",IF($E17=$D$31,VLOOKUP($C17,'Valeurs Règlement Campagne'!$A$4:$T$7,12,FALSE),VLOOKUP($C17,'Valeurs Règlement Campagne'!$A$4:$I$7,4,FALSE)))</f>
        <v xml:space="preserve"> </v>
      </c>
      <c r="L17" s="103" t="str">
        <f>IF($E17=" "," ",IF($E17=$D$31,VLOOKUP($C17,'Valeurs Règlement Campagne'!$A$4:$T$7,14,FALSE),VLOOKUP($C17,'Valeurs Règlement Campagne'!$A$4:$L$7,5,FALSE)))</f>
        <v xml:space="preserve"> </v>
      </c>
      <c r="M17" s="102" t="str">
        <f>IF($E17=" "," ",IF($E17=$D$31,VLOOKUP($C17,'Valeurs Règlement Campagne'!$A$4:$T$7,15,FALSE),VLOOKUP($C17,'Valeurs Règlement Campagne'!$A$4:$M$7,6,FALSE)))</f>
        <v xml:space="preserve"> </v>
      </c>
      <c r="N17" s="103" t="str">
        <f>IF($E17=" "," ",IF($E17=$D$31,VLOOKUP($C17,'Valeurs Règlement Campagne'!$A$4:$T$7,17,FALSE),VLOOKUP($C17,'Valeurs Règlement Campagne'!$A$4:$N$7,7,FALSE)))</f>
        <v xml:space="preserve"> </v>
      </c>
      <c r="O17" s="187" t="str">
        <f>IF($E17=" "," ",IF($E17=$D$31,VLOOKUP($C17,'Valeurs Règlement Campagne'!$A$4:$T$7,18,FALSE),VLOOKUP($C17,'Valeurs Règlement Campagne'!$A$4:$O$7,8,FALSE)))</f>
        <v xml:space="preserve"> </v>
      </c>
      <c r="P17" s="186" t="str">
        <f>IF($E17=" "," ",IF($E17=$D$31,VLOOKUP($C17,'Valeurs Règlement Campagne'!$A$4:$T$7,20,FALSE),VLOOKUP($C17,'Valeurs Règlement Campagne'!$A$4:$P$7,9,FALSE)))</f>
        <v xml:space="preserve"> </v>
      </c>
      <c r="Q17" s="190" t="str">
        <f t="shared" si="6"/>
        <v xml:space="preserve"> </v>
      </c>
      <c r="R17" s="112" t="str" cm="1">
        <f t="array" ref="R17">IF(C17=" "," ",
IF(AND(E17="Connues",AC17&lt;&gt;"",
COUNTIFS(AC$5:AC$29,AC17,C$5:C$29,C17)&gt;1),
"Doublon",
IF(AND(E17="Connues",
SUMPRODUCT(
(E$5:E$29="Connues")*
(C$5:C$29=C17)*
(ROW($5:$29)&lt;&gt;ROW())*
(ABS(N(F$5:F$29)-N(F17))&lt;=2)*
(
(ABS(N(F$5:F$29)-N(IFERROR(VLOOKUP(C17,'Valeurs Règlement Campagne'!$A$4:$T$7,12,FALSE),0)))&lt;=2)+
(ABS(N(F$5:F$29)-N(IFERROR(VLOOKUP(C17,'Valeurs Règlement Campagne'!$A$4:$T$7,13,FALSE),0)))&lt;=2)+
(ABS(N(F$5:F$29)-N(IFERROR(VLOOKUP(C17,'Valeurs Règlement Campagne'!$A$4:$T$7,14,FALSE),0)))&lt;=2)
)
)&gt;0),
"Doublon",
IF($C17=0," ",
IF(N(F17)=0," ",
IF(E17="Inconnues",
AND(N(F17)&gt;=N(K17),N(F17)&lt;=N(L17)),
IF(AND('Valeurs Règlement Campagne'!$L$14="OUI",E17="Connues"),
AND(N(F17)&gt;=N(K17)-2,N(F17)&lt;=N(L17)+2),
OR(N(F17)=N(K17),N(F17)=N(K17)+5,N(F17)=N(L17))
)
)
)
)
)))</f>
        <v xml:space="preserve"> </v>
      </c>
      <c r="S17" s="113" t="str" cm="1">
        <f t="array" ref="S17">IF(C17=" "," ",
IF(AND(E17="Connues",AD17&lt;&gt;"",
COUNTIFS(AD$5:AD$29,AD17,C$5:C$29,C17)&gt;1),
"Doublon",
IF(AND(E17="Connues",
SUMPRODUCT(
(E$5:E$29="Connues")*
(C$5:C$29=C17)*
(ROW($5:$29)&lt;&gt;ROW())*
(ABS(N(G$5:G$29)-N(G17))&lt;=2)*
(
(ABS(N(G$5:G$29)-N(IFERROR(VLOOKUP(C17,'Valeurs Règlement Campagne'!$A$4:$T$7,15,FALSE),0)))&lt;=2)+
(ABS(N(G$5:G$29)-N(IFERROR(VLOOKUP(C17,'Valeurs Règlement Campagne'!$A$4:$T$7,16,FALSE),0)))&lt;=2)+
(ABS(N(G$5:G$29)-N(IFERROR(VLOOKUP(C17,'Valeurs Règlement Campagne'!$A$4:$T$7,17,FALSE),0)))&lt;=2)
)
)&gt;0),
"Doublon",
IF($C17=0," ",
IF(N(G17)=0," ",
IF(E17="Inconnues",
AND(N(G17)&gt;=N(M17),N(G17)&lt;=N(N17)),
IF(AND('Valeurs Règlement Campagne'!$L$14="OUI",E17="Connues"),
AND(N(G17)&gt;=N(M17)-2,N(G17)&lt;=N(N17)+2),
OR(N(G17)=N(M17),N(G17)=N(M17)+5,N(G17)=N(N17))
)
)
)
)
)))</f>
        <v xml:space="preserve"> </v>
      </c>
      <c r="T17" s="113" t="str" cm="1">
        <f t="array" ref="T17">IF(C17=" "," ",
IF(AND(E17="Connues",AE17&lt;&gt;"",
COUNTIFS(AE$5:AE$29,AE17,C$5:C$29,C17)&gt;1),
"Doublon",
IF(AND(E17="Connues",
SUMPRODUCT(
(E$5:E$29="Connues")*
(C$5:C$29=C17)*
(ROW($5:$29)&lt;&gt;ROW())*
(ABS(N(H$5:H$29)-N(H17))&lt;=2)*
(
(ABS(N(H$5:H$29)-N(IFERROR(VLOOKUP(C17,'Valeurs Règlement Campagne'!$A$4:$T$7,18,FALSE),0)))&lt;=2)+
(ABS(N(H$5:H$29)-N(IFERROR(VLOOKUP(C17,'Valeurs Règlement Campagne'!$A$4:$T$7,19,FALSE),0)))&lt;=2)+
(ABS(N(H$5:H$29)-N(IFERROR(VLOOKUP(C17,'Valeurs Règlement Campagne'!$A$4:$T$7,20,FALSE),0)))&lt;=2)
)
)&gt;0),
"Doublon",
IF($C17=0," ",
IF(N(H17)=0," ",
IF(E17="Inconnues",
AND(N(H17)&gt;=N(O17),N(H17)&lt;=N(P17)),
IF(AND('Valeurs Règlement Campagne'!$L$14="OUI",E17="Connues"),
AND(N(H17)&gt;=N(O17)-2,N(H17)&lt;=N(P17)+2),
OR(N(H17)=N(O17),N(H17)=N(O17)+5,N(H17)=N(P17))
)
)
)
)
)))</f>
        <v xml:space="preserve"> </v>
      </c>
      <c r="U17" s="192" t="str">
        <f>IF($C17=" "," ",IF(I17=" "," ",IF('Valeurs Règlement Campagne'!$L$14="OUI",AND(I17&gt;=O17-2,I17&lt;=Q17+2),OR(I17=O17,I17=O17+5,I17=Q17))))</f>
        <v xml:space="preserve"> </v>
      </c>
      <c r="V17" s="220" t="str">
        <f t="shared" si="1"/>
        <v xml:space="preserve"> </v>
      </c>
      <c r="W17" s="218"/>
      <c r="X17" s="218" t="str">
        <f t="shared" si="2"/>
        <v xml:space="preserve"> </v>
      </c>
      <c r="Y17" s="218"/>
      <c r="Z17" s="218" t="str">
        <f t="shared" si="3"/>
        <v xml:space="preserve"> </v>
      </c>
      <c r="AA17" s="252"/>
      <c r="AB17" s="110" t="str">
        <f t="shared" si="7"/>
        <v/>
      </c>
      <c r="AC17" s="100" t="str">
        <f>IF(
  E17="Connues",
  IF(
    ABS(F17 - VLOOKUP(C17,'Valeurs Règlement Campagne'!$A$4:$T$7,12,FALSE))&lt;=2,
    VLOOKUP(C17,'Valeurs Règlement Campagne'!$A$4:$T$7,12,FALSE),
    IF(
      ABS(F17 - VLOOKUP(C17,'Valeurs Règlement Campagne'!$A$4:$T$7,13,FALSE))&lt;=2,
      VLOOKUP(C17,'Valeurs Règlement Campagne'!$A$4:$T$7,13,FALSE),
      IF(
        ABS(F17 - VLOOKUP(C17,'Valeurs Règlement Campagne'!$A$4:$T$7,14,FALSE))&lt;=2,
        VLOOKUP(C17,'Valeurs Règlement Campagne'!$A$4:$T$7,14,FALSE),
        ""
      )
    )
  ),
  ""
)</f>
        <v/>
      </c>
      <c r="AD17" s="100" t="str">
        <f>IF(
  E17="Connues",
  IF(
    ABS(G17 - VLOOKUP(C17,'Valeurs Règlement Campagne'!$A$4:$T$7,15,FALSE))&lt;=2,
    VLOOKUP(C17,'Valeurs Règlement Campagne'!$A$4:$T$7,15,FALSE),
    IF(
      ABS(G17 - VLOOKUP(C17,'Valeurs Règlement Campagne'!$A$4:$T$7,16,FALSE))&lt;=2,
      VLOOKUP(C17,'Valeurs Règlement Campagne'!$A$4:$T$7,16,FALSE),
      IF(
        ABS(G17 - VLOOKUP(C17,'Valeurs Règlement Campagne'!$A$4:$T$7,17,FALSE))&lt;=2,
        VLOOKUP(C17,'Valeurs Règlement Campagne'!$A$4:$T$7,17,FALSE),
        ""
      )
    )
  ),
  ""
)</f>
        <v/>
      </c>
      <c r="AE17" s="100" t="str">
        <f>IF(
  E17="Connues",
  IF(
    ABS(H17 - VLOOKUP(C17,'Valeurs Règlement Campagne'!$A$4:$T$7,15,FALSE))&lt;=2,
    VLOOKUP(C17,'Valeurs Règlement Campagne'!$A$4:$T$7,15,FALSE),
    IF(
      ABS(H17 - VLOOKUP(C17,'Valeurs Règlement Campagne'!$A$4:$T$7,16,FALSE))&lt;=2,
      VLOOKUP(C17,'Valeurs Règlement Campagne'!$A$4:$T$7,16,FALSE),
      IF(
        ABS(H17 - VLOOKUP(C17,'Valeurs Règlement Campagne'!$A$4:$T$7,17,FALSE))&lt;=2,
        VLOOKUP(C17,'Valeurs Règlement Campagne'!$A$4:$T$7,17,FALSE),
        ""
      )
    )
  ),
  ""
)</f>
        <v/>
      </c>
    </row>
    <row r="18" spans="1:212" ht="20.75" customHeight="1">
      <c r="A18" s="213">
        <v>13</v>
      </c>
      <c r="B18" s="216" t="str">
        <f>IF(NOT(ISBLANK(Organisateur!B18)),Organisateur!B18," ")</f>
        <v xml:space="preserve"> </v>
      </c>
      <c r="C18" s="254" t="str">
        <f>IF(NOT(ISBLANK(Organisateur!C18)),Organisateur!C18," ")</f>
        <v xml:space="preserve"> </v>
      </c>
      <c r="D18" s="254"/>
      <c r="E18" s="210" t="str">
        <f>IF(NOT(ISBLANK(Organisateur!E18)),Organisateur!E18," ")</f>
        <v xml:space="preserve"> </v>
      </c>
      <c r="F18" s="183" t="str">
        <f>IF(NOT(ISBLANK(Organisateur!F18)),Organisateur!F18," ")</f>
        <v xml:space="preserve"> </v>
      </c>
      <c r="G18" s="183" t="str">
        <f>IF(NOT(ISBLANK(Organisateur!G18)),Organisateur!G18," ")</f>
        <v xml:space="preserve"> </v>
      </c>
      <c r="H18" s="183" t="str">
        <f>IF(NOT(ISBLANK(Organisateur!H18)),Organisateur!H18," ")</f>
        <v xml:space="preserve"> </v>
      </c>
      <c r="I18" s="183" t="str">
        <f>IF(NOT(ISBLANK(Organisateur!I18)),Organisateur!I18," ")</f>
        <v xml:space="preserve"> </v>
      </c>
      <c r="J18" s="101"/>
      <c r="K18" s="102" t="str">
        <f>IF($E18=" "," ",IF($E18=$D$31,VLOOKUP($C18,'Valeurs Règlement Campagne'!$A$4:$T$7,12,FALSE),VLOOKUP($C18,'Valeurs Règlement Campagne'!$A$4:$I$7,4,FALSE)))</f>
        <v xml:space="preserve"> </v>
      </c>
      <c r="L18" s="103" t="str">
        <f>IF($E18=" "," ",IF($E18=$D$31,VLOOKUP($C18,'Valeurs Règlement Campagne'!$A$4:$T$7,14,FALSE),VLOOKUP($C18,'Valeurs Règlement Campagne'!$A$4:$L$7,5,FALSE)))</f>
        <v xml:space="preserve"> </v>
      </c>
      <c r="M18" s="102" t="str">
        <f>IF($E18=" "," ",IF($E18=$D$31,VLOOKUP($C18,'Valeurs Règlement Campagne'!$A$4:$T$7,15,FALSE),VLOOKUP($C18,'Valeurs Règlement Campagne'!$A$4:$M$7,6,FALSE)))</f>
        <v xml:space="preserve"> </v>
      </c>
      <c r="N18" s="103" t="str">
        <f>IF($E18=" "," ",IF($E18=$D$31,VLOOKUP($C18,'Valeurs Règlement Campagne'!$A$4:$T$7,17,FALSE),VLOOKUP($C18,'Valeurs Règlement Campagne'!$A$4:$N$7,7,FALSE)))</f>
        <v xml:space="preserve"> </v>
      </c>
      <c r="O18" s="187" t="str">
        <f>IF($E18=" "," ",IF($E18=$D$31,VLOOKUP($C18,'Valeurs Règlement Campagne'!$A$4:$T$7,18,FALSE),VLOOKUP($C18,'Valeurs Règlement Campagne'!$A$4:$O$7,8,FALSE)))</f>
        <v xml:space="preserve"> </v>
      </c>
      <c r="P18" s="186" t="str">
        <f>IF($E18=" "," ",IF($E18=$D$31,VLOOKUP($C18,'Valeurs Règlement Campagne'!$A$4:$T$7,20,FALSE),VLOOKUP($C18,'Valeurs Règlement Campagne'!$A$4:$P$7,9,FALSE)))</f>
        <v xml:space="preserve"> </v>
      </c>
      <c r="Q18" s="190" t="str">
        <f t="shared" si="6"/>
        <v xml:space="preserve"> </v>
      </c>
      <c r="R18" s="112" t="str" cm="1">
        <f t="array" ref="R18">IF(C18=" "," ",
IF(AND(E18="Connues",AC18&lt;&gt;"",
COUNTIFS(AC$5:AC$29,AC18,C$5:C$29,C18)&gt;1),
"Doublon",
IF(AND(E18="Connues",
SUMPRODUCT(
(E$5:E$29="Connues")*
(C$5:C$29=C18)*
(ROW($5:$29)&lt;&gt;ROW())*
(ABS(N(F$5:F$29)-N(F18))&lt;=2)*
(
(ABS(N(F$5:F$29)-N(IFERROR(VLOOKUP(C18,'Valeurs Règlement Campagne'!$A$4:$T$7,12,FALSE),0)))&lt;=2)+
(ABS(N(F$5:F$29)-N(IFERROR(VLOOKUP(C18,'Valeurs Règlement Campagne'!$A$4:$T$7,13,FALSE),0)))&lt;=2)+
(ABS(N(F$5:F$29)-N(IFERROR(VLOOKUP(C18,'Valeurs Règlement Campagne'!$A$4:$T$7,14,FALSE),0)))&lt;=2)
)
)&gt;0),
"Doublon",
IF($C18=0," ",
IF(N(F18)=0," ",
IF(E18="Inconnues",
AND(N(F18)&gt;=N(K18),N(F18)&lt;=N(L18)),
IF(AND('Valeurs Règlement Campagne'!$L$14="OUI",E18="Connues"),
AND(N(F18)&gt;=N(K18)-2,N(F18)&lt;=N(L18)+2),
OR(N(F18)=N(K18),N(F18)=N(K18)+5,N(F18)=N(L18))
)
)
)
)
)))</f>
        <v xml:space="preserve"> </v>
      </c>
      <c r="S18" s="113" t="str" cm="1">
        <f t="array" ref="S18">IF(C18=" "," ",
IF(AND(E18="Connues",AD18&lt;&gt;"",
COUNTIFS(AD$5:AD$29,AD18,C$5:C$29,C18)&gt;1),
"Doublon",
IF(AND(E18="Connues",
SUMPRODUCT(
(E$5:E$29="Connues")*
(C$5:C$29=C18)*
(ROW($5:$29)&lt;&gt;ROW())*
(ABS(N(G$5:G$29)-N(G18))&lt;=2)*
(
(ABS(N(G$5:G$29)-N(IFERROR(VLOOKUP(C18,'Valeurs Règlement Campagne'!$A$4:$T$7,15,FALSE),0)))&lt;=2)+
(ABS(N(G$5:G$29)-N(IFERROR(VLOOKUP(C18,'Valeurs Règlement Campagne'!$A$4:$T$7,16,FALSE),0)))&lt;=2)+
(ABS(N(G$5:G$29)-N(IFERROR(VLOOKUP(C18,'Valeurs Règlement Campagne'!$A$4:$T$7,17,FALSE),0)))&lt;=2)
)
)&gt;0),
"Doublon",
IF($C18=0," ",
IF(N(G18)=0," ",
IF(E18="Inconnues",
AND(N(G18)&gt;=N(M18),N(G18)&lt;=N(N18)),
IF(AND('Valeurs Règlement Campagne'!$L$14="OUI",E18="Connues"),
AND(N(G18)&gt;=N(M18)-2,N(G18)&lt;=N(N18)+2),
OR(N(G18)=N(M18),N(G18)=N(M18)+5,N(G18)=N(N18))
)
)
)
)
)))</f>
        <v xml:space="preserve"> </v>
      </c>
      <c r="T18" s="113" t="str" cm="1">
        <f t="array" ref="T18">IF(C18=" "," ",
IF(AND(E18="Connues",AE18&lt;&gt;"",
COUNTIFS(AE$5:AE$29,AE18,C$5:C$29,C18)&gt;1),
"Doublon",
IF(AND(E18="Connues",
SUMPRODUCT(
(E$5:E$29="Connues")*
(C$5:C$29=C18)*
(ROW($5:$29)&lt;&gt;ROW())*
(ABS(N(H$5:H$29)-N(H18))&lt;=2)*
(
(ABS(N(H$5:H$29)-N(IFERROR(VLOOKUP(C18,'Valeurs Règlement Campagne'!$A$4:$T$7,18,FALSE),0)))&lt;=2)+
(ABS(N(H$5:H$29)-N(IFERROR(VLOOKUP(C18,'Valeurs Règlement Campagne'!$A$4:$T$7,19,FALSE),0)))&lt;=2)+
(ABS(N(H$5:H$29)-N(IFERROR(VLOOKUP(C18,'Valeurs Règlement Campagne'!$A$4:$T$7,20,FALSE),0)))&lt;=2)
)
)&gt;0),
"Doublon",
IF($C18=0," ",
IF(N(H18)=0," ",
IF(E18="Inconnues",
AND(N(H18)&gt;=N(O18),N(H18)&lt;=N(P18)),
IF(AND('Valeurs Règlement Campagne'!$L$14="OUI",E18="Connues"),
AND(N(H18)&gt;=N(O18)-2,N(H18)&lt;=N(P18)+2),
OR(N(H18)=N(O18),N(H18)=N(O18)+5,N(H18)=N(P18))
)
)
)
)
)))</f>
        <v xml:space="preserve"> </v>
      </c>
      <c r="U18" s="192" t="str">
        <f>IF($C18=" "," ",IF(I18=" "," ",IF('Valeurs Règlement Campagne'!$L$14="OUI",AND(I18&gt;=O18-2,I18&lt;=Q18+2),OR(I18=O18,I18=O18+5,I18=Q18))))</f>
        <v xml:space="preserve"> </v>
      </c>
      <c r="V18" s="220" t="str">
        <f t="shared" si="1"/>
        <v xml:space="preserve"> </v>
      </c>
      <c r="W18" s="218"/>
      <c r="X18" s="218" t="str">
        <f t="shared" si="2"/>
        <v xml:space="preserve"> </v>
      </c>
      <c r="Y18" s="218"/>
      <c r="Z18" s="218" t="str">
        <f t="shared" si="3"/>
        <v xml:space="preserve"> </v>
      </c>
      <c r="AA18" s="252"/>
      <c r="AB18" s="110" t="str">
        <f t="shared" si="7"/>
        <v/>
      </c>
      <c r="AC18" s="100" t="str">
        <f>IF(
  E18="Connues",
  IF(
    ABS(F18 - VLOOKUP(C18,'Valeurs Règlement Campagne'!$A$4:$T$7,12,FALSE))&lt;=2,
    VLOOKUP(C18,'Valeurs Règlement Campagne'!$A$4:$T$7,12,FALSE),
    IF(
      ABS(F18 - VLOOKUP(C18,'Valeurs Règlement Campagne'!$A$4:$T$7,13,FALSE))&lt;=2,
      VLOOKUP(C18,'Valeurs Règlement Campagne'!$A$4:$T$7,13,FALSE),
      IF(
        ABS(F18 - VLOOKUP(C18,'Valeurs Règlement Campagne'!$A$4:$T$7,14,FALSE))&lt;=2,
        VLOOKUP(C18,'Valeurs Règlement Campagne'!$A$4:$T$7,14,FALSE),
        ""
      )
    )
  ),
  ""
)</f>
        <v/>
      </c>
      <c r="AD18" s="100" t="str">
        <f>IF(
  E18="Connues",
  IF(
    ABS(G18 - VLOOKUP(C18,'Valeurs Règlement Campagne'!$A$4:$T$7,15,FALSE))&lt;=2,
    VLOOKUP(C18,'Valeurs Règlement Campagne'!$A$4:$T$7,15,FALSE),
    IF(
      ABS(G18 - VLOOKUP(C18,'Valeurs Règlement Campagne'!$A$4:$T$7,16,FALSE))&lt;=2,
      VLOOKUP(C18,'Valeurs Règlement Campagne'!$A$4:$T$7,16,FALSE),
      IF(
        ABS(G18 - VLOOKUP(C18,'Valeurs Règlement Campagne'!$A$4:$T$7,17,FALSE))&lt;=2,
        VLOOKUP(C18,'Valeurs Règlement Campagne'!$A$4:$T$7,17,FALSE),
        ""
      )
    )
  ),
  ""
)</f>
        <v/>
      </c>
      <c r="AE18" s="100" t="str">
        <f>IF(
  E18="Connues",
  IF(
    ABS(H18 - VLOOKUP(C18,'Valeurs Règlement Campagne'!$A$4:$T$7,15,FALSE))&lt;=2,
    VLOOKUP(C18,'Valeurs Règlement Campagne'!$A$4:$T$7,15,FALSE),
    IF(
      ABS(H18 - VLOOKUP(C18,'Valeurs Règlement Campagne'!$A$4:$T$7,16,FALSE))&lt;=2,
      VLOOKUP(C18,'Valeurs Règlement Campagne'!$A$4:$T$7,16,FALSE),
      IF(
        ABS(H18 - VLOOKUP(C18,'Valeurs Règlement Campagne'!$A$4:$T$7,17,FALSE))&lt;=2,
        VLOOKUP(C18,'Valeurs Règlement Campagne'!$A$4:$T$7,17,FALSE),
        ""
      )
    )
  ),
  ""
)</f>
        <v/>
      </c>
    </row>
    <row r="19" spans="1:212" ht="20.75" customHeight="1">
      <c r="A19" s="213">
        <v>14</v>
      </c>
      <c r="B19" s="216" t="str">
        <f>IF(NOT(ISBLANK(Organisateur!B19)),Organisateur!B19," ")</f>
        <v xml:space="preserve"> </v>
      </c>
      <c r="C19" s="254" t="str">
        <f>IF(NOT(ISBLANK(Organisateur!C19)),Organisateur!C19," ")</f>
        <v xml:space="preserve"> </v>
      </c>
      <c r="D19" s="254"/>
      <c r="E19" s="210" t="str">
        <f>IF(NOT(ISBLANK(Organisateur!E19)),Organisateur!E19," ")</f>
        <v xml:space="preserve"> </v>
      </c>
      <c r="F19" s="183" t="str">
        <f>IF(NOT(ISBLANK(Organisateur!F19)),Organisateur!F19," ")</f>
        <v xml:space="preserve"> </v>
      </c>
      <c r="G19" s="183" t="str">
        <f>IF(NOT(ISBLANK(Organisateur!G19)),Organisateur!G19," ")</f>
        <v xml:space="preserve"> </v>
      </c>
      <c r="H19" s="183" t="str">
        <f>IF(NOT(ISBLANK(Organisateur!H19)),Organisateur!H19," ")</f>
        <v xml:space="preserve"> </v>
      </c>
      <c r="I19" s="183" t="str">
        <f>IF(NOT(ISBLANK(Organisateur!I19)),Organisateur!I19," ")</f>
        <v xml:space="preserve"> </v>
      </c>
      <c r="J19" s="101"/>
      <c r="K19" s="102" t="str">
        <f>IF($E19=" "," ",IF($E19=$D$31,VLOOKUP($C19,'Valeurs Règlement Campagne'!$A$4:$T$7,12,FALSE),VLOOKUP($C19,'Valeurs Règlement Campagne'!$A$4:$I$7,4,FALSE)))</f>
        <v xml:space="preserve"> </v>
      </c>
      <c r="L19" s="103" t="str">
        <f>IF($E19=" "," ",IF($E19=$D$31,VLOOKUP($C19,'Valeurs Règlement Campagne'!$A$4:$T$7,14,FALSE),VLOOKUP($C19,'Valeurs Règlement Campagne'!$A$4:$L$7,5,FALSE)))</f>
        <v xml:space="preserve"> </v>
      </c>
      <c r="M19" s="102" t="str">
        <f>IF($E19=" "," ",IF($E19=$D$31,VLOOKUP($C19,'Valeurs Règlement Campagne'!$A$4:$T$7,15,FALSE),VLOOKUP($C19,'Valeurs Règlement Campagne'!$A$4:$M$7,6,FALSE)))</f>
        <v xml:space="preserve"> </v>
      </c>
      <c r="N19" s="103" t="str">
        <f>IF($E19=" "," ",IF($E19=$D$31,VLOOKUP($C19,'Valeurs Règlement Campagne'!$A$4:$T$7,17,FALSE),VLOOKUP($C19,'Valeurs Règlement Campagne'!$A$4:$N$7,7,FALSE)))</f>
        <v xml:space="preserve"> </v>
      </c>
      <c r="O19" s="187" t="str">
        <f>IF($E19=" "," ",IF($E19=$D$31,VLOOKUP($C19,'Valeurs Règlement Campagne'!$A$4:$T$7,18,FALSE),VLOOKUP($C19,'Valeurs Règlement Campagne'!$A$4:$O$7,8,FALSE)))</f>
        <v xml:space="preserve"> </v>
      </c>
      <c r="P19" s="186" t="str">
        <f>IF($E19=" "," ",IF($E19=$D$31,VLOOKUP($C19,'Valeurs Règlement Campagne'!$A$4:$T$7,20,FALSE),VLOOKUP($C19,'Valeurs Règlement Campagne'!$A$4:$P$7,9,FALSE)))</f>
        <v xml:space="preserve"> </v>
      </c>
      <c r="Q19" s="190" t="str">
        <f t="shared" si="6"/>
        <v xml:space="preserve"> </v>
      </c>
      <c r="R19" s="112" t="str" cm="1">
        <f t="array" ref="R19">IF(C19=" "," ",
IF(AND(E19="Connues",AC19&lt;&gt;"",
COUNTIFS(AC$5:AC$29,AC19,C$5:C$29,C19)&gt;1),
"Doublon",
IF(AND(E19="Connues",
SUMPRODUCT(
(E$5:E$29="Connues")*
(C$5:C$29=C19)*
(ROW($5:$29)&lt;&gt;ROW())*
(ABS(N(F$5:F$29)-N(F19))&lt;=2)*
(
(ABS(N(F$5:F$29)-N(IFERROR(VLOOKUP(C19,'Valeurs Règlement Campagne'!$A$4:$T$7,12,FALSE),0)))&lt;=2)+
(ABS(N(F$5:F$29)-N(IFERROR(VLOOKUP(C19,'Valeurs Règlement Campagne'!$A$4:$T$7,13,FALSE),0)))&lt;=2)+
(ABS(N(F$5:F$29)-N(IFERROR(VLOOKUP(C19,'Valeurs Règlement Campagne'!$A$4:$T$7,14,FALSE),0)))&lt;=2)
)
)&gt;0),
"Doublon",
IF($C19=0," ",
IF(N(F19)=0," ",
IF(E19="Inconnues",
AND(N(F19)&gt;=N(K19),N(F19)&lt;=N(L19)),
IF(AND('Valeurs Règlement Campagne'!$L$14="OUI",E19="Connues"),
AND(N(F19)&gt;=N(K19)-2,N(F19)&lt;=N(L19)+2),
OR(N(F19)=N(K19),N(F19)=N(K19)+5,N(F19)=N(L19))
)
)
)
)
)))</f>
        <v xml:space="preserve"> </v>
      </c>
      <c r="S19" s="113" t="str" cm="1">
        <f t="array" ref="S19">IF(C19=" "," ",
IF(AND(E19="Connues",AD19&lt;&gt;"",
COUNTIFS(AD$5:AD$29,AD19,C$5:C$29,C19)&gt;1),
"Doublon",
IF(AND(E19="Connues",
SUMPRODUCT(
(E$5:E$29="Connues")*
(C$5:C$29=C19)*
(ROW($5:$29)&lt;&gt;ROW())*
(ABS(N(G$5:G$29)-N(G19))&lt;=2)*
(
(ABS(N(G$5:G$29)-N(IFERROR(VLOOKUP(C19,'Valeurs Règlement Campagne'!$A$4:$T$7,15,FALSE),0)))&lt;=2)+
(ABS(N(G$5:G$29)-N(IFERROR(VLOOKUP(C19,'Valeurs Règlement Campagne'!$A$4:$T$7,16,FALSE),0)))&lt;=2)+
(ABS(N(G$5:G$29)-N(IFERROR(VLOOKUP(C19,'Valeurs Règlement Campagne'!$A$4:$T$7,17,FALSE),0)))&lt;=2)
)
)&gt;0),
"Doublon",
IF($C19=0," ",
IF(N(G19)=0," ",
IF(E19="Inconnues",
AND(N(G19)&gt;=N(M19),N(G19)&lt;=N(N19)),
IF(AND('Valeurs Règlement Campagne'!$L$14="OUI",E19="Connues"),
AND(N(G19)&gt;=N(M19)-2,N(G19)&lt;=N(N19)+2),
OR(N(G19)=N(M19),N(G19)=N(M19)+5,N(G19)=N(N19))
)
)
)
)
)))</f>
        <v xml:space="preserve"> </v>
      </c>
      <c r="T19" s="113" t="str" cm="1">
        <f t="array" ref="T19">IF(C19=" "," ",
IF(AND(E19="Connues",AE19&lt;&gt;"",
COUNTIFS(AE$5:AE$29,AE19,C$5:C$29,C19)&gt;1),
"Doublon",
IF(AND(E19="Connues",
SUMPRODUCT(
(E$5:E$29="Connues")*
(C$5:C$29=C19)*
(ROW($5:$29)&lt;&gt;ROW())*
(ABS(N(H$5:H$29)-N(H19))&lt;=2)*
(
(ABS(N(H$5:H$29)-N(IFERROR(VLOOKUP(C19,'Valeurs Règlement Campagne'!$A$4:$T$7,18,FALSE),0)))&lt;=2)+
(ABS(N(H$5:H$29)-N(IFERROR(VLOOKUP(C19,'Valeurs Règlement Campagne'!$A$4:$T$7,19,FALSE),0)))&lt;=2)+
(ABS(N(H$5:H$29)-N(IFERROR(VLOOKUP(C19,'Valeurs Règlement Campagne'!$A$4:$T$7,20,FALSE),0)))&lt;=2)
)
)&gt;0),
"Doublon",
IF($C19=0," ",
IF(N(H19)=0," ",
IF(E19="Inconnues",
AND(N(H19)&gt;=N(O19),N(H19)&lt;=N(P19)),
IF(AND('Valeurs Règlement Campagne'!$L$14="OUI",E19="Connues"),
AND(N(H19)&gt;=N(O19)-2,N(H19)&lt;=N(P19)+2),
OR(N(H19)=N(O19),N(H19)=N(O19)+5,N(H19)=N(P19))
)
)
)
)
)))</f>
        <v xml:space="preserve"> </v>
      </c>
      <c r="U19" s="192" t="str">
        <f>IF($C19=" "," ",IF(I19=" "," ",IF('Valeurs Règlement Campagne'!$L$14="OUI",AND(I19&gt;=O19-2,I19&lt;=Q19+2),OR(I19=O19,I19=O19+5,I19=Q19))))</f>
        <v xml:space="preserve"> </v>
      </c>
      <c r="V19" s="220" t="str">
        <f t="shared" si="1"/>
        <v xml:space="preserve"> </v>
      </c>
      <c r="W19" s="218"/>
      <c r="X19" s="218" t="str">
        <f t="shared" si="2"/>
        <v xml:space="preserve"> </v>
      </c>
      <c r="Y19" s="218"/>
      <c r="Z19" s="218" t="str">
        <f t="shared" si="3"/>
        <v xml:space="preserve"> </v>
      </c>
      <c r="AA19" s="252"/>
      <c r="AB19" s="110" t="str">
        <f t="shared" si="7"/>
        <v/>
      </c>
      <c r="AC19" s="100" t="str">
        <f>IF(
  E19="Connues",
  IF(
    ABS(F19 - VLOOKUP(C19,'Valeurs Règlement Campagne'!$A$4:$T$7,12,FALSE))&lt;=2,
    VLOOKUP(C19,'Valeurs Règlement Campagne'!$A$4:$T$7,12,FALSE),
    IF(
      ABS(F19 - VLOOKUP(C19,'Valeurs Règlement Campagne'!$A$4:$T$7,13,FALSE))&lt;=2,
      VLOOKUP(C19,'Valeurs Règlement Campagne'!$A$4:$T$7,13,FALSE),
      IF(
        ABS(F19 - VLOOKUP(C19,'Valeurs Règlement Campagne'!$A$4:$T$7,14,FALSE))&lt;=2,
        VLOOKUP(C19,'Valeurs Règlement Campagne'!$A$4:$T$7,14,FALSE),
        ""
      )
    )
  ),
  ""
)</f>
        <v/>
      </c>
      <c r="AD19" s="100" t="str">
        <f>IF(
  E19="Connues",
  IF(
    ABS(G19 - VLOOKUP(C19,'Valeurs Règlement Campagne'!$A$4:$T$7,15,FALSE))&lt;=2,
    VLOOKUP(C19,'Valeurs Règlement Campagne'!$A$4:$T$7,15,FALSE),
    IF(
      ABS(G19 - VLOOKUP(C19,'Valeurs Règlement Campagne'!$A$4:$T$7,16,FALSE))&lt;=2,
      VLOOKUP(C19,'Valeurs Règlement Campagne'!$A$4:$T$7,16,FALSE),
      IF(
        ABS(G19 - VLOOKUP(C19,'Valeurs Règlement Campagne'!$A$4:$T$7,17,FALSE))&lt;=2,
        VLOOKUP(C19,'Valeurs Règlement Campagne'!$A$4:$T$7,17,FALSE),
        ""
      )
    )
  ),
  ""
)</f>
        <v/>
      </c>
      <c r="AE19" s="100" t="str">
        <f>IF(
  E19="Connues",
  IF(
    ABS(H19 - VLOOKUP(C19,'Valeurs Règlement Campagne'!$A$4:$T$7,15,FALSE))&lt;=2,
    VLOOKUP(C19,'Valeurs Règlement Campagne'!$A$4:$T$7,15,FALSE),
    IF(
      ABS(H19 - VLOOKUP(C19,'Valeurs Règlement Campagne'!$A$4:$T$7,16,FALSE))&lt;=2,
      VLOOKUP(C19,'Valeurs Règlement Campagne'!$A$4:$T$7,16,FALSE),
      IF(
        ABS(H19 - VLOOKUP(C19,'Valeurs Règlement Campagne'!$A$4:$T$7,17,FALSE))&lt;=2,
        VLOOKUP(C19,'Valeurs Règlement Campagne'!$A$4:$T$7,17,FALSE),
        ""
      )
    )
  ),
  ""
)</f>
        <v/>
      </c>
    </row>
    <row r="20" spans="1:212" ht="20.75" customHeight="1">
      <c r="A20" s="213">
        <v>15</v>
      </c>
      <c r="B20" s="216" t="str">
        <f>IF(NOT(ISBLANK(Organisateur!B20)),Organisateur!B20," ")</f>
        <v xml:space="preserve"> </v>
      </c>
      <c r="C20" s="254" t="str">
        <f>IF(NOT(ISBLANK(Organisateur!C20)),Organisateur!C20," ")</f>
        <v xml:space="preserve"> </v>
      </c>
      <c r="D20" s="254"/>
      <c r="E20" s="210" t="str">
        <f>IF(NOT(ISBLANK(Organisateur!E20)),Organisateur!E20," ")</f>
        <v xml:space="preserve"> </v>
      </c>
      <c r="F20" s="183" t="str">
        <f>IF(NOT(ISBLANK(Organisateur!F20)),Organisateur!F20," ")</f>
        <v xml:space="preserve"> </v>
      </c>
      <c r="G20" s="183" t="str">
        <f>IF(NOT(ISBLANK(Organisateur!G20)),Organisateur!G20," ")</f>
        <v xml:space="preserve"> </v>
      </c>
      <c r="H20" s="183" t="str">
        <f>IF(NOT(ISBLANK(Organisateur!H20)),Organisateur!H20," ")</f>
        <v xml:space="preserve"> </v>
      </c>
      <c r="I20" s="183" t="str">
        <f>IF(NOT(ISBLANK(Organisateur!I20)),Organisateur!I20," ")</f>
        <v xml:space="preserve"> </v>
      </c>
      <c r="J20" s="101"/>
      <c r="K20" s="102" t="str">
        <f>IF($E20=" "," ",IF($E20=$D$31,VLOOKUP($C20,'Valeurs Règlement Campagne'!$A$4:$T$7,12,FALSE),VLOOKUP($C20,'Valeurs Règlement Campagne'!$A$4:$I$7,4,FALSE)))</f>
        <v xml:space="preserve"> </v>
      </c>
      <c r="L20" s="103" t="str">
        <f>IF($E20=" "," ",IF($E20=$D$31,VLOOKUP($C20,'Valeurs Règlement Campagne'!$A$4:$T$7,14,FALSE),VLOOKUP($C20,'Valeurs Règlement Campagne'!$A$4:$L$7,5,FALSE)))</f>
        <v xml:space="preserve"> </v>
      </c>
      <c r="M20" s="102" t="str">
        <f>IF($E20=" "," ",IF($E20=$D$31,VLOOKUP($C20,'Valeurs Règlement Campagne'!$A$4:$T$7,15,FALSE),VLOOKUP($C20,'Valeurs Règlement Campagne'!$A$4:$M$7,6,FALSE)))</f>
        <v xml:space="preserve"> </v>
      </c>
      <c r="N20" s="103" t="str">
        <f>IF($E20=" "," ",IF($E20=$D$31,VLOOKUP($C20,'Valeurs Règlement Campagne'!$A$4:$T$7,17,FALSE),VLOOKUP($C20,'Valeurs Règlement Campagne'!$A$4:$N$7,7,FALSE)))</f>
        <v xml:space="preserve"> </v>
      </c>
      <c r="O20" s="187" t="str">
        <f>IF($E20=" "," ",IF($E20=$D$31,VLOOKUP($C20,'Valeurs Règlement Campagne'!$A$4:$T$7,18,FALSE),VLOOKUP($C20,'Valeurs Règlement Campagne'!$A$4:$O$7,8,FALSE)))</f>
        <v xml:space="preserve"> </v>
      </c>
      <c r="P20" s="186" t="str">
        <f>IF($E20=" "," ",IF($E20=$D$31,VLOOKUP($C20,'Valeurs Règlement Campagne'!$A$4:$T$7,20,FALSE),VLOOKUP($C20,'Valeurs Règlement Campagne'!$A$4:$P$7,9,FALSE)))</f>
        <v xml:space="preserve"> </v>
      </c>
      <c r="Q20" s="190" t="str">
        <f t="shared" si="6"/>
        <v xml:space="preserve"> </v>
      </c>
      <c r="R20" s="112" t="str" cm="1">
        <f t="array" ref="R20">IF(C20=" "," ",
IF(AND(E20="Connues",AC20&lt;&gt;"",
COUNTIFS(AC$5:AC$29,AC20,C$5:C$29,C20)&gt;1),
"Doublon",
IF(AND(E20="Connues",
SUMPRODUCT(
(E$5:E$29="Connues")*
(C$5:C$29=C20)*
(ROW($5:$29)&lt;&gt;ROW())*
(ABS(N(F$5:F$29)-N(F20))&lt;=2)*
(
(ABS(N(F$5:F$29)-N(IFERROR(VLOOKUP(C20,'Valeurs Règlement Campagne'!$A$4:$T$7,12,FALSE),0)))&lt;=2)+
(ABS(N(F$5:F$29)-N(IFERROR(VLOOKUP(C20,'Valeurs Règlement Campagne'!$A$4:$T$7,13,FALSE),0)))&lt;=2)+
(ABS(N(F$5:F$29)-N(IFERROR(VLOOKUP(C20,'Valeurs Règlement Campagne'!$A$4:$T$7,14,FALSE),0)))&lt;=2)
)
)&gt;0),
"Doublon",
IF($C20=0," ",
IF(N(F20)=0," ",
IF(E20="Inconnues",
AND(N(F20)&gt;=N(K20),N(F20)&lt;=N(L20)),
IF(AND('Valeurs Règlement Campagne'!$L$14="OUI",E20="Connues"),
AND(N(F20)&gt;=N(K20)-2,N(F20)&lt;=N(L20)+2),
OR(N(F20)=N(K20),N(F20)=N(K20)+5,N(F20)=N(L20))
)
)
)
)
)))</f>
        <v xml:space="preserve"> </v>
      </c>
      <c r="S20" s="113" t="str" cm="1">
        <f t="array" ref="S20">IF(C20=" "," ",
IF(AND(E20="Connues",AD20&lt;&gt;"",
COUNTIFS(AD$5:AD$29,AD20,C$5:C$29,C20)&gt;1),
"Doublon",
IF(AND(E20="Connues",
SUMPRODUCT(
(E$5:E$29="Connues")*
(C$5:C$29=C20)*
(ROW($5:$29)&lt;&gt;ROW())*
(ABS(N(G$5:G$29)-N(G20))&lt;=2)*
(
(ABS(N(G$5:G$29)-N(IFERROR(VLOOKUP(C20,'Valeurs Règlement Campagne'!$A$4:$T$7,15,FALSE),0)))&lt;=2)+
(ABS(N(G$5:G$29)-N(IFERROR(VLOOKUP(C20,'Valeurs Règlement Campagne'!$A$4:$T$7,16,FALSE),0)))&lt;=2)+
(ABS(N(G$5:G$29)-N(IFERROR(VLOOKUP(C20,'Valeurs Règlement Campagne'!$A$4:$T$7,17,FALSE),0)))&lt;=2)
)
)&gt;0),
"Doublon",
IF($C20=0," ",
IF(N(G20)=0," ",
IF(E20="Inconnues",
AND(N(G20)&gt;=N(M20),N(G20)&lt;=N(N20)),
IF(AND('Valeurs Règlement Campagne'!$L$14="OUI",E20="Connues"),
AND(N(G20)&gt;=N(M20)-2,N(G20)&lt;=N(N20)+2),
OR(N(G20)=N(M20),N(G20)=N(M20)+5,N(G20)=N(N20))
)
)
)
)
)))</f>
        <v xml:space="preserve"> </v>
      </c>
      <c r="T20" s="113" t="str" cm="1">
        <f t="array" ref="T20">IF(C20=" "," ",
IF(AND(E20="Connues",AE20&lt;&gt;"",
COUNTIFS(AE$5:AE$29,AE20,C$5:C$29,C20)&gt;1),
"Doublon",
IF(AND(E20="Connues",
SUMPRODUCT(
(E$5:E$29="Connues")*
(C$5:C$29=C20)*
(ROW($5:$29)&lt;&gt;ROW())*
(ABS(N(H$5:H$29)-N(H20))&lt;=2)*
(
(ABS(N(H$5:H$29)-N(IFERROR(VLOOKUP(C20,'Valeurs Règlement Campagne'!$A$4:$T$7,18,FALSE),0)))&lt;=2)+
(ABS(N(H$5:H$29)-N(IFERROR(VLOOKUP(C20,'Valeurs Règlement Campagne'!$A$4:$T$7,19,FALSE),0)))&lt;=2)+
(ABS(N(H$5:H$29)-N(IFERROR(VLOOKUP(C20,'Valeurs Règlement Campagne'!$A$4:$T$7,20,FALSE),0)))&lt;=2)
)
)&gt;0),
"Doublon",
IF($C20=0," ",
IF(N(H20)=0," ",
IF(E20="Inconnues",
AND(N(H20)&gt;=N(O20),N(H20)&lt;=N(P20)),
IF(AND('Valeurs Règlement Campagne'!$L$14="OUI",E20="Connues"),
AND(N(H20)&gt;=N(O20)-2,N(H20)&lt;=N(P20)+2),
OR(N(H20)=N(O20),N(H20)=N(O20)+5,N(H20)=N(P20))
)
)
)
)
)))</f>
        <v xml:space="preserve"> </v>
      </c>
      <c r="U20" s="192" t="str">
        <f>IF($C20=" "," ",IF(I20=" "," ",IF('Valeurs Règlement Campagne'!$L$14="OUI",AND(I20&gt;=O20-2,I20&lt;=Q20+2),OR(I20=O20,I20=O20+5,I20=Q20))))</f>
        <v xml:space="preserve"> </v>
      </c>
      <c r="V20" s="220" t="str">
        <f t="shared" si="1"/>
        <v xml:space="preserve"> </v>
      </c>
      <c r="W20" s="218"/>
      <c r="X20" s="218" t="str">
        <f t="shared" si="2"/>
        <v xml:space="preserve"> </v>
      </c>
      <c r="Y20" s="218"/>
      <c r="Z20" s="218" t="str">
        <f t="shared" si="3"/>
        <v xml:space="preserve"> </v>
      </c>
      <c r="AA20" s="252"/>
      <c r="AB20" s="110" t="str">
        <f t="shared" si="7"/>
        <v/>
      </c>
      <c r="AC20" s="100" t="str">
        <f>IF(
  E20="Connues",
  IF(
    ABS(F20 - VLOOKUP(C20,'Valeurs Règlement Campagne'!$A$4:$T$7,12,FALSE))&lt;=2,
    VLOOKUP(C20,'Valeurs Règlement Campagne'!$A$4:$T$7,12,FALSE),
    IF(
      ABS(F20 - VLOOKUP(C20,'Valeurs Règlement Campagne'!$A$4:$T$7,13,FALSE))&lt;=2,
      VLOOKUP(C20,'Valeurs Règlement Campagne'!$A$4:$T$7,13,FALSE),
      IF(
        ABS(F20 - VLOOKUP(C20,'Valeurs Règlement Campagne'!$A$4:$T$7,14,FALSE))&lt;=2,
        VLOOKUP(C20,'Valeurs Règlement Campagne'!$A$4:$T$7,14,FALSE),
        ""
      )
    )
  ),
  ""
)</f>
        <v/>
      </c>
      <c r="AD20" s="100" t="str">
        <f>IF(
  E20="Connues",
  IF(
    ABS(G20 - VLOOKUP(C20,'Valeurs Règlement Campagne'!$A$4:$T$7,15,FALSE))&lt;=2,
    VLOOKUP(C20,'Valeurs Règlement Campagne'!$A$4:$T$7,15,FALSE),
    IF(
      ABS(G20 - VLOOKUP(C20,'Valeurs Règlement Campagne'!$A$4:$T$7,16,FALSE))&lt;=2,
      VLOOKUP(C20,'Valeurs Règlement Campagne'!$A$4:$T$7,16,FALSE),
      IF(
        ABS(G20 - VLOOKUP(C20,'Valeurs Règlement Campagne'!$A$4:$T$7,17,FALSE))&lt;=2,
        VLOOKUP(C20,'Valeurs Règlement Campagne'!$A$4:$T$7,17,FALSE),
        ""
      )
    )
  ),
  ""
)</f>
        <v/>
      </c>
      <c r="AE20" s="100" t="str">
        <f>IF(
  E20="Connues",
  IF(
    ABS(H20 - VLOOKUP(C20,'Valeurs Règlement Campagne'!$A$4:$T$7,15,FALSE))&lt;=2,
    VLOOKUP(C20,'Valeurs Règlement Campagne'!$A$4:$T$7,15,FALSE),
    IF(
      ABS(H20 - VLOOKUP(C20,'Valeurs Règlement Campagne'!$A$4:$T$7,16,FALSE))&lt;=2,
      VLOOKUP(C20,'Valeurs Règlement Campagne'!$A$4:$T$7,16,FALSE),
      IF(
        ABS(H20 - VLOOKUP(C20,'Valeurs Règlement Campagne'!$A$4:$T$7,17,FALSE))&lt;=2,
        VLOOKUP(C20,'Valeurs Règlement Campagne'!$A$4:$T$7,17,FALSE),
        ""
      )
    )
  ),
  ""
)</f>
        <v/>
      </c>
    </row>
    <row r="21" spans="1:212" ht="20.75" customHeight="1">
      <c r="A21" s="213">
        <v>16</v>
      </c>
      <c r="B21" s="216" t="str">
        <f>IF(NOT(ISBLANK(Organisateur!B21)),Organisateur!B21," ")</f>
        <v xml:space="preserve"> </v>
      </c>
      <c r="C21" s="254" t="str">
        <f>IF(NOT(ISBLANK(Organisateur!C21)),Organisateur!C21," ")</f>
        <v xml:space="preserve"> </v>
      </c>
      <c r="D21" s="254"/>
      <c r="E21" s="210" t="str">
        <f>IF(NOT(ISBLANK(Organisateur!E21)),Organisateur!E21," ")</f>
        <v xml:space="preserve"> </v>
      </c>
      <c r="F21" s="183" t="str">
        <f>IF(NOT(ISBLANK(Organisateur!F21)),Organisateur!F21," ")</f>
        <v xml:space="preserve"> </v>
      </c>
      <c r="G21" s="183" t="str">
        <f>IF(NOT(ISBLANK(Organisateur!G21)),Organisateur!G21," ")</f>
        <v xml:space="preserve"> </v>
      </c>
      <c r="H21" s="183" t="str">
        <f>IF(NOT(ISBLANK(Organisateur!H21)),Organisateur!H21," ")</f>
        <v xml:space="preserve"> </v>
      </c>
      <c r="I21" s="183" t="str">
        <f>IF(NOT(ISBLANK(Organisateur!I21)),Organisateur!I21," ")</f>
        <v xml:space="preserve"> </v>
      </c>
      <c r="J21" s="101"/>
      <c r="K21" s="102" t="str">
        <f>IF($E21=" "," ",IF($E21=$D$31,VLOOKUP($C21,'Valeurs Règlement Campagne'!$A$4:$T$7,12,FALSE),VLOOKUP($C21,'Valeurs Règlement Campagne'!$A$4:$I$7,4,FALSE)))</f>
        <v xml:space="preserve"> </v>
      </c>
      <c r="L21" s="103" t="str">
        <f>IF($E21=" "," ",IF($E21=$D$31,VLOOKUP($C21,'Valeurs Règlement Campagne'!$A$4:$T$7,14,FALSE),VLOOKUP($C21,'Valeurs Règlement Campagne'!$A$4:$L$7,5,FALSE)))</f>
        <v xml:space="preserve"> </v>
      </c>
      <c r="M21" s="102" t="str">
        <f>IF($E21=" "," ",IF($E21=$D$31,VLOOKUP($C21,'Valeurs Règlement Campagne'!$A$4:$T$7,15,FALSE),VLOOKUP($C21,'Valeurs Règlement Campagne'!$A$4:$M$7,6,FALSE)))</f>
        <v xml:space="preserve"> </v>
      </c>
      <c r="N21" s="103" t="str">
        <f>IF($E21=" "," ",IF($E21=$D$31,VLOOKUP($C21,'Valeurs Règlement Campagne'!$A$4:$T$7,17,FALSE),VLOOKUP($C21,'Valeurs Règlement Campagne'!$A$4:$N$7,7,FALSE)))</f>
        <v xml:space="preserve"> </v>
      </c>
      <c r="O21" s="187" t="str">
        <f>IF($E21=" "," ",IF($E21=$D$31,VLOOKUP($C21,'Valeurs Règlement Campagne'!$A$4:$T$7,18,FALSE),VLOOKUP($C21,'Valeurs Règlement Campagne'!$A$4:$O$7,8,FALSE)))</f>
        <v xml:space="preserve"> </v>
      </c>
      <c r="P21" s="186" t="str">
        <f>IF($E21=" "," ",IF($E21=$D$31,VLOOKUP($C21,'Valeurs Règlement Campagne'!$A$4:$T$7,20,FALSE),VLOOKUP($C21,'Valeurs Règlement Campagne'!$A$4:$P$7,9,FALSE)))</f>
        <v xml:space="preserve"> </v>
      </c>
      <c r="Q21" s="190" t="str">
        <f t="shared" si="6"/>
        <v xml:space="preserve"> </v>
      </c>
      <c r="R21" s="112" t="str" cm="1">
        <f t="array" ref="R21">IF(C21=" "," ",
IF(AND(E21="Connues",AC21&lt;&gt;"",
COUNTIFS(AC$5:AC$29,AC21,C$5:C$29,C21)&gt;1),
"Doublon",
IF(AND(E21="Connues",
SUMPRODUCT(
(E$5:E$29="Connues")*
(C$5:C$29=C21)*
(ROW($5:$29)&lt;&gt;ROW())*
(ABS(N(F$5:F$29)-N(F21))&lt;=2)*
(
(ABS(N(F$5:F$29)-N(IFERROR(VLOOKUP(C21,'Valeurs Règlement Campagne'!$A$4:$T$7,12,FALSE),0)))&lt;=2)+
(ABS(N(F$5:F$29)-N(IFERROR(VLOOKUP(C21,'Valeurs Règlement Campagne'!$A$4:$T$7,13,FALSE),0)))&lt;=2)+
(ABS(N(F$5:F$29)-N(IFERROR(VLOOKUP(C21,'Valeurs Règlement Campagne'!$A$4:$T$7,14,FALSE),0)))&lt;=2)
)
)&gt;0),
"Doublon",
IF($C21=0," ",
IF(N(F21)=0," ",
IF(E21="Inconnues",
AND(N(F21)&gt;=N(K21),N(F21)&lt;=N(L21)),
IF(AND('Valeurs Règlement Campagne'!$L$14="OUI",E21="Connues"),
AND(N(F21)&gt;=N(K21)-2,N(F21)&lt;=N(L21)+2),
OR(N(F21)=N(K21),N(F21)=N(K21)+5,N(F21)=N(L21))
)
)
)
)
)))</f>
        <v xml:space="preserve"> </v>
      </c>
      <c r="S21" s="113" t="str" cm="1">
        <f t="array" ref="S21">IF(C21=" "," ",
IF(AND(E21="Connues",AD21&lt;&gt;"",
COUNTIFS(AD$5:AD$29,AD21,C$5:C$29,C21)&gt;1),
"Doublon",
IF(AND(E21="Connues",
SUMPRODUCT(
(E$5:E$29="Connues")*
(C$5:C$29=C21)*
(ROW($5:$29)&lt;&gt;ROW())*
(ABS(N(G$5:G$29)-N(G21))&lt;=2)*
(
(ABS(N(G$5:G$29)-N(IFERROR(VLOOKUP(C21,'Valeurs Règlement Campagne'!$A$4:$T$7,15,FALSE),0)))&lt;=2)+
(ABS(N(G$5:G$29)-N(IFERROR(VLOOKUP(C21,'Valeurs Règlement Campagne'!$A$4:$T$7,16,FALSE),0)))&lt;=2)+
(ABS(N(G$5:G$29)-N(IFERROR(VLOOKUP(C21,'Valeurs Règlement Campagne'!$A$4:$T$7,17,FALSE),0)))&lt;=2)
)
)&gt;0),
"Doublon",
IF($C21=0," ",
IF(N(G21)=0," ",
IF(E21="Inconnues",
AND(N(G21)&gt;=N(M21),N(G21)&lt;=N(N21)),
IF(AND('Valeurs Règlement Campagne'!$L$14="OUI",E21="Connues"),
AND(N(G21)&gt;=N(M21)-2,N(G21)&lt;=N(N21)+2),
OR(N(G21)=N(M21),N(G21)=N(M21)+5,N(G21)=N(N21))
)
)
)
)
)))</f>
        <v xml:space="preserve"> </v>
      </c>
      <c r="T21" s="113" t="str" cm="1">
        <f t="array" ref="T21">IF(C21=" "," ",
IF(AND(E21="Connues",AE21&lt;&gt;"",
COUNTIFS(AE$5:AE$29,AE21,C$5:C$29,C21)&gt;1),
"Doublon",
IF(AND(E21="Connues",
SUMPRODUCT(
(E$5:E$29="Connues")*
(C$5:C$29=C21)*
(ROW($5:$29)&lt;&gt;ROW())*
(ABS(N(H$5:H$29)-N(H21))&lt;=2)*
(
(ABS(N(H$5:H$29)-N(IFERROR(VLOOKUP(C21,'Valeurs Règlement Campagne'!$A$4:$T$7,18,FALSE),0)))&lt;=2)+
(ABS(N(H$5:H$29)-N(IFERROR(VLOOKUP(C21,'Valeurs Règlement Campagne'!$A$4:$T$7,19,FALSE),0)))&lt;=2)+
(ABS(N(H$5:H$29)-N(IFERROR(VLOOKUP(C21,'Valeurs Règlement Campagne'!$A$4:$T$7,20,FALSE),0)))&lt;=2)
)
)&gt;0),
"Doublon",
IF($C21=0," ",
IF(N(H21)=0," ",
IF(E21="Inconnues",
AND(N(H21)&gt;=N(O21),N(H21)&lt;=N(P21)),
IF(AND('Valeurs Règlement Campagne'!$L$14="OUI",E21="Connues"),
AND(N(H21)&gt;=N(O21)-2,N(H21)&lt;=N(P21)+2),
OR(N(H21)=N(O21),N(H21)=N(O21)+5,N(H21)=N(P21))
)
)
)
)
)))</f>
        <v xml:space="preserve"> </v>
      </c>
      <c r="U21" s="192" t="str">
        <f>IF($C21=" "," ",IF(I21=" "," ",IF('Valeurs Règlement Campagne'!$L$14="OUI",AND(I21&gt;=O21-2,I21&lt;=Q21+2),OR(I21=O21,I21=O21+5,I21=Q21))))</f>
        <v xml:space="preserve"> </v>
      </c>
      <c r="V21" s="220" t="str">
        <f t="shared" si="1"/>
        <v xml:space="preserve"> </v>
      </c>
      <c r="W21" s="218"/>
      <c r="X21" s="218" t="str">
        <f t="shared" si="2"/>
        <v xml:space="preserve"> </v>
      </c>
      <c r="Y21" s="218"/>
      <c r="Z21" s="218" t="str">
        <f t="shared" si="3"/>
        <v xml:space="preserve"> </v>
      </c>
      <c r="AA21" s="252"/>
      <c r="AB21" s="110" t="str">
        <f t="shared" si="7"/>
        <v/>
      </c>
      <c r="AC21" s="100" t="str">
        <f>IF(
  E21="Connues",
  IF(
    ABS(F21 - VLOOKUP(C21,'Valeurs Règlement Campagne'!$A$4:$T$7,12,FALSE))&lt;=2,
    VLOOKUP(C21,'Valeurs Règlement Campagne'!$A$4:$T$7,12,FALSE),
    IF(
      ABS(F21 - VLOOKUP(C21,'Valeurs Règlement Campagne'!$A$4:$T$7,13,FALSE))&lt;=2,
      VLOOKUP(C21,'Valeurs Règlement Campagne'!$A$4:$T$7,13,FALSE),
      IF(
        ABS(F21 - VLOOKUP(C21,'Valeurs Règlement Campagne'!$A$4:$T$7,14,FALSE))&lt;=2,
        VLOOKUP(C21,'Valeurs Règlement Campagne'!$A$4:$T$7,14,FALSE),
        ""
      )
    )
  ),
  ""
)</f>
        <v/>
      </c>
      <c r="AD21" s="100" t="str">
        <f>IF(
  E21="Connues",
  IF(
    ABS(G21 - VLOOKUP(C21,'Valeurs Règlement Campagne'!$A$4:$T$7,15,FALSE))&lt;=2,
    VLOOKUP(C21,'Valeurs Règlement Campagne'!$A$4:$T$7,15,FALSE),
    IF(
      ABS(G21 - VLOOKUP(C21,'Valeurs Règlement Campagne'!$A$4:$T$7,16,FALSE))&lt;=2,
      VLOOKUP(C21,'Valeurs Règlement Campagne'!$A$4:$T$7,16,FALSE),
      IF(
        ABS(G21 - VLOOKUP(C21,'Valeurs Règlement Campagne'!$A$4:$T$7,17,FALSE))&lt;=2,
        VLOOKUP(C21,'Valeurs Règlement Campagne'!$A$4:$T$7,17,FALSE),
        ""
      )
    )
  ),
  ""
)</f>
        <v/>
      </c>
      <c r="AE21" s="100" t="str">
        <f>IF(
  E21="Connues",
  IF(
    ABS(H21 - VLOOKUP(C21,'Valeurs Règlement Campagne'!$A$4:$T$7,15,FALSE))&lt;=2,
    VLOOKUP(C21,'Valeurs Règlement Campagne'!$A$4:$T$7,15,FALSE),
    IF(
      ABS(H21 - VLOOKUP(C21,'Valeurs Règlement Campagne'!$A$4:$T$7,16,FALSE))&lt;=2,
      VLOOKUP(C21,'Valeurs Règlement Campagne'!$A$4:$T$7,16,FALSE),
      IF(
        ABS(H21 - VLOOKUP(C21,'Valeurs Règlement Campagne'!$A$4:$T$7,17,FALSE))&lt;=2,
        VLOOKUP(C21,'Valeurs Règlement Campagne'!$A$4:$T$7,17,FALSE),
        ""
      )
    )
  ),
  ""
)</f>
        <v/>
      </c>
    </row>
    <row r="22" spans="1:212" ht="20.75" customHeight="1">
      <c r="A22" s="213">
        <v>17</v>
      </c>
      <c r="B22" s="216" t="str">
        <f>IF(NOT(ISBLANK(Organisateur!B22)),Organisateur!B22," ")</f>
        <v xml:space="preserve"> </v>
      </c>
      <c r="C22" s="254" t="str">
        <f>IF(NOT(ISBLANK(Organisateur!C22)),Organisateur!C22," ")</f>
        <v xml:space="preserve"> </v>
      </c>
      <c r="D22" s="254"/>
      <c r="E22" s="210" t="str">
        <f>IF(NOT(ISBLANK(Organisateur!E22)),Organisateur!E22," ")</f>
        <v xml:space="preserve"> </v>
      </c>
      <c r="F22" s="183" t="str">
        <f>IF(NOT(ISBLANK(Organisateur!F22)),Organisateur!F22," ")</f>
        <v xml:space="preserve"> </v>
      </c>
      <c r="G22" s="183" t="str">
        <f>IF(NOT(ISBLANK(Organisateur!G22)),Organisateur!G22," ")</f>
        <v xml:space="preserve"> </v>
      </c>
      <c r="H22" s="183" t="str">
        <f>IF(NOT(ISBLANK(Organisateur!H22)),Organisateur!H22," ")</f>
        <v xml:space="preserve"> </v>
      </c>
      <c r="I22" s="183" t="str">
        <f>IF(NOT(ISBLANK(Organisateur!I22)),Organisateur!I22," ")</f>
        <v xml:space="preserve"> </v>
      </c>
      <c r="J22" s="101"/>
      <c r="K22" s="102" t="str">
        <f>IF($E22=" "," ",IF($E22=$D$31,VLOOKUP($C22,'Valeurs Règlement Campagne'!$A$4:$T$7,12,FALSE),VLOOKUP($C22,'Valeurs Règlement Campagne'!$A$4:$I$7,4,FALSE)))</f>
        <v xml:space="preserve"> </v>
      </c>
      <c r="L22" s="103" t="str">
        <f>IF($E22=" "," ",IF($E22=$D$31,VLOOKUP($C22,'Valeurs Règlement Campagne'!$A$4:$T$7,14,FALSE),VLOOKUP($C22,'Valeurs Règlement Campagne'!$A$4:$L$7,5,FALSE)))</f>
        <v xml:space="preserve"> </v>
      </c>
      <c r="M22" s="102" t="str">
        <f>IF($E22=" "," ",IF($E22=$D$31,VLOOKUP($C22,'Valeurs Règlement Campagne'!$A$4:$T$7,15,FALSE),VLOOKUP($C22,'Valeurs Règlement Campagne'!$A$4:$M$7,6,FALSE)))</f>
        <v xml:space="preserve"> </v>
      </c>
      <c r="N22" s="103" t="str">
        <f>IF($E22=" "," ",IF($E22=$D$31,VLOOKUP($C22,'Valeurs Règlement Campagne'!$A$4:$T$7,17,FALSE),VLOOKUP($C22,'Valeurs Règlement Campagne'!$A$4:$N$7,7,FALSE)))</f>
        <v xml:space="preserve"> </v>
      </c>
      <c r="O22" s="187" t="str">
        <f>IF($E22=" "," ",IF($E22=$D$31,VLOOKUP($C22,'Valeurs Règlement Campagne'!$A$4:$T$7,18,FALSE),VLOOKUP($C22,'Valeurs Règlement Campagne'!$A$4:$O$7,8,FALSE)))</f>
        <v xml:space="preserve"> </v>
      </c>
      <c r="P22" s="186" t="str">
        <f>IF($E22=" "," ",IF($E22=$D$31,VLOOKUP($C22,'Valeurs Règlement Campagne'!$A$4:$T$7,20,FALSE),VLOOKUP($C22,'Valeurs Règlement Campagne'!$A$4:$P$7,9,FALSE)))</f>
        <v xml:space="preserve"> </v>
      </c>
      <c r="Q22" s="190" t="str">
        <f t="shared" si="6"/>
        <v xml:space="preserve"> </v>
      </c>
      <c r="R22" s="112" t="str" cm="1">
        <f t="array" ref="R22">IF(C22=" "," ",
IF(AND(E22="Connues",AC22&lt;&gt;"",
COUNTIFS(AC$5:AC$29,AC22,C$5:C$29,C22)&gt;1),
"Doublon",
IF(AND(E22="Connues",
SUMPRODUCT(
(E$5:E$29="Connues")*
(C$5:C$29=C22)*
(ROW($5:$29)&lt;&gt;ROW())*
(ABS(N(F$5:F$29)-N(F22))&lt;=2)*
(
(ABS(N(F$5:F$29)-N(IFERROR(VLOOKUP(C22,'Valeurs Règlement Campagne'!$A$4:$T$7,12,FALSE),0)))&lt;=2)+
(ABS(N(F$5:F$29)-N(IFERROR(VLOOKUP(C22,'Valeurs Règlement Campagne'!$A$4:$T$7,13,FALSE),0)))&lt;=2)+
(ABS(N(F$5:F$29)-N(IFERROR(VLOOKUP(C22,'Valeurs Règlement Campagne'!$A$4:$T$7,14,FALSE),0)))&lt;=2)
)
)&gt;0),
"Doublon",
IF($C22=0," ",
IF(N(F22)=0," ",
IF(E22="Inconnues",
AND(N(F22)&gt;=N(K22),N(F22)&lt;=N(L22)),
IF(AND('Valeurs Règlement Campagne'!$L$14="OUI",E22="Connues"),
AND(N(F22)&gt;=N(K22)-2,N(F22)&lt;=N(L22)+2),
OR(N(F22)=N(K22),N(F22)=N(K22)+5,N(F22)=N(L22))
)
)
)
)
)))</f>
        <v xml:space="preserve"> </v>
      </c>
      <c r="S22" s="113" t="str" cm="1">
        <f t="array" ref="S22">IF(C22=" "," ",
IF(AND(E22="Connues",AD22&lt;&gt;"",
COUNTIFS(AD$5:AD$29,AD22,C$5:C$29,C22)&gt;1),
"Doublon",
IF(AND(E22="Connues",
SUMPRODUCT(
(E$5:E$29="Connues")*
(C$5:C$29=C22)*
(ROW($5:$29)&lt;&gt;ROW())*
(ABS(N(G$5:G$29)-N(G22))&lt;=2)*
(
(ABS(N(G$5:G$29)-N(IFERROR(VLOOKUP(C22,'Valeurs Règlement Campagne'!$A$4:$T$7,15,FALSE),0)))&lt;=2)+
(ABS(N(G$5:G$29)-N(IFERROR(VLOOKUP(C22,'Valeurs Règlement Campagne'!$A$4:$T$7,16,FALSE),0)))&lt;=2)+
(ABS(N(G$5:G$29)-N(IFERROR(VLOOKUP(C22,'Valeurs Règlement Campagne'!$A$4:$T$7,17,FALSE),0)))&lt;=2)
)
)&gt;0),
"Doublon",
IF($C22=0," ",
IF(N(G22)=0," ",
IF(E22="Inconnues",
AND(N(G22)&gt;=N(M22),N(G22)&lt;=N(N22)),
IF(AND('Valeurs Règlement Campagne'!$L$14="OUI",E22="Connues"),
AND(N(G22)&gt;=N(M22)-2,N(G22)&lt;=N(N22)+2),
OR(N(G22)=N(M22),N(G22)=N(M22)+5,N(G22)=N(N22))
)
)
)
)
)))</f>
        <v xml:space="preserve"> </v>
      </c>
      <c r="T22" s="113" t="str" cm="1">
        <f t="array" ref="T22">IF(C22=" "," ",
IF(AND(E22="Connues",AE22&lt;&gt;"",
COUNTIFS(AE$5:AE$29,AE22,C$5:C$29,C22)&gt;1),
"Doublon",
IF(AND(E22="Connues",
SUMPRODUCT(
(E$5:E$29="Connues")*
(C$5:C$29=C22)*
(ROW($5:$29)&lt;&gt;ROW())*
(ABS(N(H$5:H$29)-N(H22))&lt;=2)*
(
(ABS(N(H$5:H$29)-N(IFERROR(VLOOKUP(C22,'Valeurs Règlement Campagne'!$A$4:$T$7,18,FALSE),0)))&lt;=2)+
(ABS(N(H$5:H$29)-N(IFERROR(VLOOKUP(C22,'Valeurs Règlement Campagne'!$A$4:$T$7,19,FALSE),0)))&lt;=2)+
(ABS(N(H$5:H$29)-N(IFERROR(VLOOKUP(C22,'Valeurs Règlement Campagne'!$A$4:$T$7,20,FALSE),0)))&lt;=2)
)
)&gt;0),
"Doublon",
IF($C22=0," ",
IF(N(H22)=0," ",
IF(E22="Inconnues",
AND(N(H22)&gt;=N(O22),N(H22)&lt;=N(P22)),
IF(AND('Valeurs Règlement Campagne'!$L$14="OUI",E22="Connues"),
AND(N(H22)&gt;=N(O22)-2,N(H22)&lt;=N(P22)+2),
OR(N(H22)=N(O22),N(H22)=N(O22)+5,N(H22)=N(P22))
)
)
)
)
)))</f>
        <v xml:space="preserve"> </v>
      </c>
      <c r="U22" s="192" t="str">
        <f>IF($C22=" "," ",IF(I22=" "," ",IF('Valeurs Règlement Campagne'!$L$14="OUI",AND(I22&gt;=O22-2,I22&lt;=Q22+2),OR(I22=O22,I22=O22+5,I22=Q22))))</f>
        <v xml:space="preserve"> </v>
      </c>
      <c r="V22" s="220" t="str">
        <f t="shared" si="1"/>
        <v xml:space="preserve"> </v>
      </c>
      <c r="W22" s="218"/>
      <c r="X22" s="218" t="str">
        <f t="shared" si="2"/>
        <v xml:space="preserve"> </v>
      </c>
      <c r="Y22" s="218"/>
      <c r="Z22" s="218" t="str">
        <f t="shared" si="3"/>
        <v xml:space="preserve"> </v>
      </c>
      <c r="AA22" s="252"/>
      <c r="AB22" s="110" t="str">
        <f t="shared" si="7"/>
        <v/>
      </c>
      <c r="AC22" s="100" t="str">
        <f>IF(
  E22="Connues",
  IF(
    ABS(F22 - VLOOKUP(C22,'Valeurs Règlement Campagne'!$A$4:$T$7,12,FALSE))&lt;=2,
    VLOOKUP(C22,'Valeurs Règlement Campagne'!$A$4:$T$7,12,FALSE),
    IF(
      ABS(F22 - VLOOKUP(C22,'Valeurs Règlement Campagne'!$A$4:$T$7,13,FALSE))&lt;=2,
      VLOOKUP(C22,'Valeurs Règlement Campagne'!$A$4:$T$7,13,FALSE),
      IF(
        ABS(F22 - VLOOKUP(C22,'Valeurs Règlement Campagne'!$A$4:$T$7,14,FALSE))&lt;=2,
        VLOOKUP(C22,'Valeurs Règlement Campagne'!$A$4:$T$7,14,FALSE),
        ""
      )
    )
  ),
  ""
)</f>
        <v/>
      </c>
      <c r="AD22" s="100" t="str">
        <f>IF(
  E22="Connues",
  IF(
    ABS(G22 - VLOOKUP(C22,'Valeurs Règlement Campagne'!$A$4:$T$7,15,FALSE))&lt;=2,
    VLOOKUP(C22,'Valeurs Règlement Campagne'!$A$4:$T$7,15,FALSE),
    IF(
      ABS(G22 - VLOOKUP(C22,'Valeurs Règlement Campagne'!$A$4:$T$7,16,FALSE))&lt;=2,
      VLOOKUP(C22,'Valeurs Règlement Campagne'!$A$4:$T$7,16,FALSE),
      IF(
        ABS(G22 - VLOOKUP(C22,'Valeurs Règlement Campagne'!$A$4:$T$7,17,FALSE))&lt;=2,
        VLOOKUP(C22,'Valeurs Règlement Campagne'!$A$4:$T$7,17,FALSE),
        ""
      )
    )
  ),
  ""
)</f>
        <v/>
      </c>
      <c r="AE22" s="100" t="str">
        <f>IF(
  E22="Connues",
  IF(
    ABS(H22 - VLOOKUP(C22,'Valeurs Règlement Campagne'!$A$4:$T$7,15,FALSE))&lt;=2,
    VLOOKUP(C22,'Valeurs Règlement Campagne'!$A$4:$T$7,15,FALSE),
    IF(
      ABS(H22 - VLOOKUP(C22,'Valeurs Règlement Campagne'!$A$4:$T$7,16,FALSE))&lt;=2,
      VLOOKUP(C22,'Valeurs Règlement Campagne'!$A$4:$T$7,16,FALSE),
      IF(
        ABS(H22 - VLOOKUP(C22,'Valeurs Règlement Campagne'!$A$4:$T$7,17,FALSE))&lt;=2,
        VLOOKUP(C22,'Valeurs Règlement Campagne'!$A$4:$T$7,17,FALSE),
        ""
      )
    )
  ),
  ""
)</f>
        <v/>
      </c>
    </row>
    <row r="23" spans="1:212" ht="20.75" customHeight="1">
      <c r="A23" s="213">
        <v>18</v>
      </c>
      <c r="B23" s="216" t="str">
        <f>IF(NOT(ISBLANK(Organisateur!B23)),Organisateur!B23," ")</f>
        <v xml:space="preserve"> </v>
      </c>
      <c r="C23" s="254" t="str">
        <f>IF(NOT(ISBLANK(Organisateur!C23)),Organisateur!C23," ")</f>
        <v xml:space="preserve"> </v>
      </c>
      <c r="D23" s="254"/>
      <c r="E23" s="210" t="str">
        <f>IF(NOT(ISBLANK(Organisateur!E23)),Organisateur!E23," ")</f>
        <v xml:space="preserve"> </v>
      </c>
      <c r="F23" s="183" t="str">
        <f>IF(NOT(ISBLANK(Organisateur!F23)),Organisateur!F23," ")</f>
        <v xml:space="preserve"> </v>
      </c>
      <c r="G23" s="183" t="str">
        <f>IF(NOT(ISBLANK(Organisateur!G23)),Organisateur!G23," ")</f>
        <v xml:space="preserve"> </v>
      </c>
      <c r="H23" s="183" t="str">
        <f>IF(NOT(ISBLANK(Organisateur!H23)),Organisateur!H23," ")</f>
        <v xml:space="preserve"> </v>
      </c>
      <c r="I23" s="183" t="str">
        <f>IF(NOT(ISBLANK(Organisateur!I23)),Organisateur!I23," ")</f>
        <v xml:space="preserve"> </v>
      </c>
      <c r="J23" s="101"/>
      <c r="K23" s="102" t="str">
        <f>IF($E23=" "," ",IF($E23=$D$31,VLOOKUP($C23,'Valeurs Règlement Campagne'!$A$4:$T$7,12,FALSE),VLOOKUP($C23,'Valeurs Règlement Campagne'!$A$4:$I$7,4,FALSE)))</f>
        <v xml:space="preserve"> </v>
      </c>
      <c r="L23" s="103" t="str">
        <f>IF($E23=" "," ",IF($E23=$D$31,VLOOKUP($C23,'Valeurs Règlement Campagne'!$A$4:$T$7,14,FALSE),VLOOKUP($C23,'Valeurs Règlement Campagne'!$A$4:$L$7,5,FALSE)))</f>
        <v xml:space="preserve"> </v>
      </c>
      <c r="M23" s="102" t="str">
        <f>IF($E23=" "," ",IF($E23=$D$31,VLOOKUP($C23,'Valeurs Règlement Campagne'!$A$4:$T$7,15,FALSE),VLOOKUP($C23,'Valeurs Règlement Campagne'!$A$4:$M$7,6,FALSE)))</f>
        <v xml:space="preserve"> </v>
      </c>
      <c r="N23" s="103" t="str">
        <f>IF($E23=" "," ",IF($E23=$D$31,VLOOKUP($C23,'Valeurs Règlement Campagne'!$A$4:$T$7,17,FALSE),VLOOKUP($C23,'Valeurs Règlement Campagne'!$A$4:$N$7,7,FALSE)))</f>
        <v xml:space="preserve"> </v>
      </c>
      <c r="O23" s="187" t="str">
        <f>IF($E23=" "," ",IF($E23=$D$31,VLOOKUP($C23,'Valeurs Règlement Campagne'!$A$4:$T$7,18,FALSE),VLOOKUP($C23,'Valeurs Règlement Campagne'!$A$4:$O$7,8,FALSE)))</f>
        <v xml:space="preserve"> </v>
      </c>
      <c r="P23" s="186" t="str">
        <f>IF($E23=" "," ",IF($E23=$D$31,VLOOKUP($C23,'Valeurs Règlement Campagne'!$A$4:$T$7,20,FALSE),VLOOKUP($C23,'Valeurs Règlement Campagne'!$A$4:$P$7,9,FALSE)))</f>
        <v xml:space="preserve"> </v>
      </c>
      <c r="Q23" s="190" t="str">
        <f t="shared" si="6"/>
        <v xml:space="preserve"> </v>
      </c>
      <c r="R23" s="112" t="str" cm="1">
        <f t="array" ref="R23">IF(C23=" "," ",
IF(AND(E23="Connues",AC23&lt;&gt;"",
COUNTIFS(AC$5:AC$29,AC23,C$5:C$29,C23)&gt;1),
"Doublon",
IF(AND(E23="Connues",
SUMPRODUCT(
(E$5:E$29="Connues")*
(C$5:C$29=C23)*
(ROW($5:$29)&lt;&gt;ROW())*
(ABS(N(F$5:F$29)-N(F23))&lt;=2)*
(
(ABS(N(F$5:F$29)-N(IFERROR(VLOOKUP(C23,'Valeurs Règlement Campagne'!$A$4:$T$7,12,FALSE),0)))&lt;=2)+
(ABS(N(F$5:F$29)-N(IFERROR(VLOOKUP(C23,'Valeurs Règlement Campagne'!$A$4:$T$7,13,FALSE),0)))&lt;=2)+
(ABS(N(F$5:F$29)-N(IFERROR(VLOOKUP(C23,'Valeurs Règlement Campagne'!$A$4:$T$7,14,FALSE),0)))&lt;=2)
)
)&gt;0),
"Doublon",
IF($C23=0," ",
IF(N(F23)=0," ",
IF(E23="Inconnues",
AND(N(F23)&gt;=N(K23),N(F23)&lt;=N(L23)),
IF(AND('Valeurs Règlement Campagne'!$L$14="OUI",E23="Connues"),
AND(N(F23)&gt;=N(K23)-2,N(F23)&lt;=N(L23)+2),
OR(N(F23)=N(K23),N(F23)=N(K23)+5,N(F23)=N(L23))
)
)
)
)
)))</f>
        <v xml:space="preserve"> </v>
      </c>
      <c r="S23" s="113" t="str" cm="1">
        <f t="array" ref="S23">IF(C23=" "," ",
IF(AND(E23="Connues",AD23&lt;&gt;"",
COUNTIFS(AD$5:AD$29,AD23,C$5:C$29,C23)&gt;1),
"Doublon",
IF(AND(E23="Connues",
SUMPRODUCT(
(E$5:E$29="Connues")*
(C$5:C$29=C23)*
(ROW($5:$29)&lt;&gt;ROW())*
(ABS(N(G$5:G$29)-N(G23))&lt;=2)*
(
(ABS(N(G$5:G$29)-N(IFERROR(VLOOKUP(C23,'Valeurs Règlement Campagne'!$A$4:$T$7,15,FALSE),0)))&lt;=2)+
(ABS(N(G$5:G$29)-N(IFERROR(VLOOKUP(C23,'Valeurs Règlement Campagne'!$A$4:$T$7,16,FALSE),0)))&lt;=2)+
(ABS(N(G$5:G$29)-N(IFERROR(VLOOKUP(C23,'Valeurs Règlement Campagne'!$A$4:$T$7,17,FALSE),0)))&lt;=2)
)
)&gt;0),
"Doublon",
IF($C23=0," ",
IF(N(G23)=0," ",
IF(E23="Inconnues",
AND(N(G23)&gt;=N(M23),N(G23)&lt;=N(N23)),
IF(AND('Valeurs Règlement Campagne'!$L$14="OUI",E23="Connues"),
AND(N(G23)&gt;=N(M23)-2,N(G23)&lt;=N(N23)+2),
OR(N(G23)=N(M23),N(G23)=N(M23)+5,N(G23)=N(N23))
)
)
)
)
)))</f>
        <v xml:space="preserve"> </v>
      </c>
      <c r="T23" s="113" t="str" cm="1">
        <f t="array" ref="T23">IF(C23=" "," ",
IF(AND(E23="Connues",AE23&lt;&gt;"",
COUNTIFS(AE$5:AE$29,AE23,C$5:C$29,C23)&gt;1),
"Doublon",
IF(AND(E23="Connues",
SUMPRODUCT(
(E$5:E$29="Connues")*
(C$5:C$29=C23)*
(ROW($5:$29)&lt;&gt;ROW())*
(ABS(N(H$5:H$29)-N(H23))&lt;=2)*
(
(ABS(N(H$5:H$29)-N(IFERROR(VLOOKUP(C23,'Valeurs Règlement Campagne'!$A$4:$T$7,18,FALSE),0)))&lt;=2)+
(ABS(N(H$5:H$29)-N(IFERROR(VLOOKUP(C23,'Valeurs Règlement Campagne'!$A$4:$T$7,19,FALSE),0)))&lt;=2)+
(ABS(N(H$5:H$29)-N(IFERROR(VLOOKUP(C23,'Valeurs Règlement Campagne'!$A$4:$T$7,20,FALSE),0)))&lt;=2)
)
)&gt;0),
"Doublon",
IF($C23=0," ",
IF(N(H23)=0," ",
IF(E23="Inconnues",
AND(N(H23)&gt;=N(O23),N(H23)&lt;=N(P23)),
IF(AND('Valeurs Règlement Campagne'!$L$14="OUI",E23="Connues"),
AND(N(H23)&gt;=N(O23)-2,N(H23)&lt;=N(P23)+2),
OR(N(H23)=N(O23),N(H23)=N(O23)+5,N(H23)=N(P23))
)
)
)
)
)))</f>
        <v xml:space="preserve"> </v>
      </c>
      <c r="U23" s="192" t="str">
        <f>IF($C23=" "," ",IF(I23=" "," ",IF('Valeurs Règlement Campagne'!$L$14="OUI",AND(I23&gt;=O23-2,I23&lt;=Q23+2),OR(I23=O23,I23=O23+5,I23=Q23))))</f>
        <v xml:space="preserve"> </v>
      </c>
      <c r="V23" s="220" t="str">
        <f t="shared" si="1"/>
        <v xml:space="preserve"> </v>
      </c>
      <c r="W23" s="218"/>
      <c r="X23" s="218" t="str">
        <f t="shared" si="2"/>
        <v xml:space="preserve"> </v>
      </c>
      <c r="Y23" s="218"/>
      <c r="Z23" s="218" t="str">
        <f t="shared" si="3"/>
        <v xml:space="preserve"> </v>
      </c>
      <c r="AA23" s="252"/>
      <c r="AB23" s="110" t="str">
        <f t="shared" si="7"/>
        <v/>
      </c>
      <c r="AC23" s="100" t="str">
        <f>IF(
  E23="Connues",
  IF(
    ABS(F23 - VLOOKUP(C23,'Valeurs Règlement Campagne'!$A$4:$T$7,12,FALSE))&lt;=2,
    VLOOKUP(C23,'Valeurs Règlement Campagne'!$A$4:$T$7,12,FALSE),
    IF(
      ABS(F23 - VLOOKUP(C23,'Valeurs Règlement Campagne'!$A$4:$T$7,13,FALSE))&lt;=2,
      VLOOKUP(C23,'Valeurs Règlement Campagne'!$A$4:$T$7,13,FALSE),
      IF(
        ABS(F23 - VLOOKUP(C23,'Valeurs Règlement Campagne'!$A$4:$T$7,14,FALSE))&lt;=2,
        VLOOKUP(C23,'Valeurs Règlement Campagne'!$A$4:$T$7,14,FALSE),
        ""
      )
    )
  ),
  ""
)</f>
        <v/>
      </c>
      <c r="AD23" s="100" t="str">
        <f>IF(
  E23="Connues",
  IF(
    ABS(G23 - VLOOKUP(C23,'Valeurs Règlement Campagne'!$A$4:$T$7,15,FALSE))&lt;=2,
    VLOOKUP(C23,'Valeurs Règlement Campagne'!$A$4:$T$7,15,FALSE),
    IF(
      ABS(G23 - VLOOKUP(C23,'Valeurs Règlement Campagne'!$A$4:$T$7,16,FALSE))&lt;=2,
      VLOOKUP(C23,'Valeurs Règlement Campagne'!$A$4:$T$7,16,FALSE),
      IF(
        ABS(G23 - VLOOKUP(C23,'Valeurs Règlement Campagne'!$A$4:$T$7,17,FALSE))&lt;=2,
        VLOOKUP(C23,'Valeurs Règlement Campagne'!$A$4:$T$7,17,FALSE),
        ""
      )
    )
  ),
  ""
)</f>
        <v/>
      </c>
      <c r="AE23" s="100" t="str">
        <f>IF(
  E23="Connues",
  IF(
    ABS(H23 - VLOOKUP(C23,'Valeurs Règlement Campagne'!$A$4:$T$7,15,FALSE))&lt;=2,
    VLOOKUP(C23,'Valeurs Règlement Campagne'!$A$4:$T$7,15,FALSE),
    IF(
      ABS(H23 - VLOOKUP(C23,'Valeurs Règlement Campagne'!$A$4:$T$7,16,FALSE))&lt;=2,
      VLOOKUP(C23,'Valeurs Règlement Campagne'!$A$4:$T$7,16,FALSE),
      IF(
        ABS(H23 - VLOOKUP(C23,'Valeurs Règlement Campagne'!$A$4:$T$7,17,FALSE))&lt;=2,
        VLOOKUP(C23,'Valeurs Règlement Campagne'!$A$4:$T$7,17,FALSE),
        ""
      )
    )
  ),
  ""
)</f>
        <v/>
      </c>
    </row>
    <row r="24" spans="1:212" ht="20.75" customHeight="1">
      <c r="A24" s="213">
        <v>19</v>
      </c>
      <c r="B24" s="216" t="str">
        <f>IF(NOT(ISBLANK(Organisateur!B24)),Organisateur!B24," ")</f>
        <v xml:space="preserve"> </v>
      </c>
      <c r="C24" s="254" t="str">
        <f>IF(NOT(ISBLANK(Organisateur!C24)),Organisateur!C24," ")</f>
        <v xml:space="preserve"> </v>
      </c>
      <c r="D24" s="254"/>
      <c r="E24" s="210" t="str">
        <f>IF(NOT(ISBLANK(Organisateur!E24)),Organisateur!E24," ")</f>
        <v xml:space="preserve"> </v>
      </c>
      <c r="F24" s="183" t="str">
        <f>IF(NOT(ISBLANK(Organisateur!F24)),Organisateur!F24," ")</f>
        <v xml:space="preserve"> </v>
      </c>
      <c r="G24" s="183" t="str">
        <f>IF(NOT(ISBLANK(Organisateur!G24)),Organisateur!G24," ")</f>
        <v xml:space="preserve"> </v>
      </c>
      <c r="H24" s="183" t="str">
        <f>IF(NOT(ISBLANK(Organisateur!H24)),Organisateur!H24," ")</f>
        <v xml:space="preserve"> </v>
      </c>
      <c r="I24" s="183" t="str">
        <f>IF(NOT(ISBLANK(Organisateur!I24)),Organisateur!I24," ")</f>
        <v xml:space="preserve"> </v>
      </c>
      <c r="J24" s="101"/>
      <c r="K24" s="102" t="str">
        <f>IF($E24=" "," ",IF($E24=$D$31,VLOOKUP($C24,'Valeurs Règlement Campagne'!$A$4:$T$7,12,FALSE),VLOOKUP($C24,'Valeurs Règlement Campagne'!$A$4:$I$7,4,FALSE)))</f>
        <v xml:space="preserve"> </v>
      </c>
      <c r="L24" s="103" t="str">
        <f>IF($E24=" "," ",IF($E24=$D$31,VLOOKUP($C24,'Valeurs Règlement Campagne'!$A$4:$T$7,14,FALSE),VLOOKUP($C24,'Valeurs Règlement Campagne'!$A$4:$L$7,5,FALSE)))</f>
        <v xml:space="preserve"> </v>
      </c>
      <c r="M24" s="102" t="str">
        <f>IF($E24=" "," ",IF($E24=$D$31,VLOOKUP($C24,'Valeurs Règlement Campagne'!$A$4:$T$7,15,FALSE),VLOOKUP($C24,'Valeurs Règlement Campagne'!$A$4:$M$7,6,FALSE)))</f>
        <v xml:space="preserve"> </v>
      </c>
      <c r="N24" s="103" t="str">
        <f>IF($E24=" "," ",IF($E24=$D$31,VLOOKUP($C24,'Valeurs Règlement Campagne'!$A$4:$T$7,17,FALSE),VLOOKUP($C24,'Valeurs Règlement Campagne'!$A$4:$N$7,7,FALSE)))</f>
        <v xml:space="preserve"> </v>
      </c>
      <c r="O24" s="187" t="str">
        <f>IF($E24=" "," ",IF($E24=$D$31,VLOOKUP($C24,'Valeurs Règlement Campagne'!$A$4:$T$7,18,FALSE),VLOOKUP($C24,'Valeurs Règlement Campagne'!$A$4:$O$7,8,FALSE)))</f>
        <v xml:space="preserve"> </v>
      </c>
      <c r="P24" s="186" t="str">
        <f>IF($E24=" "," ",IF($E24=$D$31,VLOOKUP($C24,'Valeurs Règlement Campagne'!$A$4:$T$7,20,FALSE),VLOOKUP($C24,'Valeurs Règlement Campagne'!$A$4:$P$7,9,FALSE)))</f>
        <v xml:space="preserve"> </v>
      </c>
      <c r="Q24" s="190" t="str">
        <f t="shared" si="6"/>
        <v xml:space="preserve"> </v>
      </c>
      <c r="R24" s="112" t="str" cm="1">
        <f t="array" ref="R24">IF(C24=" "," ",
IF(AND(E24="Connues",AC24&lt;&gt;"",
COUNTIFS(AC$5:AC$29,AC24,C$5:C$29,C24)&gt;1),
"Doublon",
IF(AND(E24="Connues",
SUMPRODUCT(
(E$5:E$29="Connues")*
(C$5:C$29=C24)*
(ROW($5:$29)&lt;&gt;ROW())*
(ABS(N(F$5:F$29)-N(F24))&lt;=2)*
(
(ABS(N(F$5:F$29)-N(IFERROR(VLOOKUP(C24,'Valeurs Règlement Campagne'!$A$4:$T$7,12,FALSE),0)))&lt;=2)+
(ABS(N(F$5:F$29)-N(IFERROR(VLOOKUP(C24,'Valeurs Règlement Campagne'!$A$4:$T$7,13,FALSE),0)))&lt;=2)+
(ABS(N(F$5:F$29)-N(IFERROR(VLOOKUP(C24,'Valeurs Règlement Campagne'!$A$4:$T$7,14,FALSE),0)))&lt;=2)
)
)&gt;0),
"Doublon",
IF($C24=0," ",
IF(N(F24)=0," ",
IF(E24="Inconnues",
AND(N(F24)&gt;=N(K24),N(F24)&lt;=N(L24)),
IF(AND('Valeurs Règlement Campagne'!$L$14="OUI",E24="Connues"),
AND(N(F24)&gt;=N(K24)-2,N(F24)&lt;=N(L24)+2),
OR(N(F24)=N(K24),N(F24)=N(K24)+5,N(F24)=N(L24))
)
)
)
)
)))</f>
        <v xml:space="preserve"> </v>
      </c>
      <c r="S24" s="113" t="str" cm="1">
        <f t="array" ref="S24">IF(C24=" "," ",
IF(AND(E24="Connues",AD24&lt;&gt;"",
COUNTIFS(AD$5:AD$29,AD24,C$5:C$29,C24)&gt;1),
"Doublon",
IF(AND(E24="Connues",
SUMPRODUCT(
(E$5:E$29="Connues")*
(C$5:C$29=C24)*
(ROW($5:$29)&lt;&gt;ROW())*
(ABS(N(G$5:G$29)-N(G24))&lt;=2)*
(
(ABS(N(G$5:G$29)-N(IFERROR(VLOOKUP(C24,'Valeurs Règlement Campagne'!$A$4:$T$7,15,FALSE),0)))&lt;=2)+
(ABS(N(G$5:G$29)-N(IFERROR(VLOOKUP(C24,'Valeurs Règlement Campagne'!$A$4:$T$7,16,FALSE),0)))&lt;=2)+
(ABS(N(G$5:G$29)-N(IFERROR(VLOOKUP(C24,'Valeurs Règlement Campagne'!$A$4:$T$7,17,FALSE),0)))&lt;=2)
)
)&gt;0),
"Doublon",
IF($C24=0," ",
IF(N(G24)=0," ",
IF(E24="Inconnues",
AND(N(G24)&gt;=N(M24),N(G24)&lt;=N(N24)),
IF(AND('Valeurs Règlement Campagne'!$L$14="OUI",E24="Connues"),
AND(N(G24)&gt;=N(M24)-2,N(G24)&lt;=N(N24)+2),
OR(N(G24)=N(M24),N(G24)=N(M24)+5,N(G24)=N(N24))
)
)
)
)
)))</f>
        <v xml:space="preserve"> </v>
      </c>
      <c r="T24" s="113" t="str" cm="1">
        <f t="array" ref="T24">IF(C24=" "," ",
IF(AND(E24="Connues",AE24&lt;&gt;"",
COUNTIFS(AE$5:AE$29,AE24,C$5:C$29,C24)&gt;1),
"Doublon",
IF(AND(E24="Connues",
SUMPRODUCT(
(E$5:E$29="Connues")*
(C$5:C$29=C24)*
(ROW($5:$29)&lt;&gt;ROW())*
(ABS(N(H$5:H$29)-N(H24))&lt;=2)*
(
(ABS(N(H$5:H$29)-N(IFERROR(VLOOKUP(C24,'Valeurs Règlement Campagne'!$A$4:$T$7,18,FALSE),0)))&lt;=2)+
(ABS(N(H$5:H$29)-N(IFERROR(VLOOKUP(C24,'Valeurs Règlement Campagne'!$A$4:$T$7,19,FALSE),0)))&lt;=2)+
(ABS(N(H$5:H$29)-N(IFERROR(VLOOKUP(C24,'Valeurs Règlement Campagne'!$A$4:$T$7,20,FALSE),0)))&lt;=2)
)
)&gt;0),
"Doublon",
IF($C24=0," ",
IF(N(H24)=0," ",
IF(E24="Inconnues",
AND(N(H24)&gt;=N(O24),N(H24)&lt;=N(P24)),
IF(AND('Valeurs Règlement Campagne'!$L$14="OUI",E24="Connues"),
AND(N(H24)&gt;=N(O24)-2,N(H24)&lt;=N(P24)+2),
OR(N(H24)=N(O24),N(H24)=N(O24)+5,N(H24)=N(P24))
)
)
)
)
)))</f>
        <v xml:space="preserve"> </v>
      </c>
      <c r="U24" s="192" t="str">
        <f>IF($C24=" "," ",IF(I24=" "," ",IF('Valeurs Règlement Campagne'!$L$14="OUI",AND(I24&gt;=O24-2,I24&lt;=Q24+2),OR(I24=O24,I24=O24+5,I24=Q24))))</f>
        <v xml:space="preserve"> </v>
      </c>
      <c r="V24" s="220" t="str">
        <f t="shared" si="1"/>
        <v xml:space="preserve"> </v>
      </c>
      <c r="W24" s="218"/>
      <c r="X24" s="218" t="str">
        <f t="shared" si="2"/>
        <v xml:space="preserve"> </v>
      </c>
      <c r="Y24" s="218"/>
      <c r="Z24" s="218" t="str">
        <f t="shared" si="3"/>
        <v xml:space="preserve"> </v>
      </c>
      <c r="AA24" s="252"/>
      <c r="AB24" s="110" t="str">
        <f t="shared" si="7"/>
        <v/>
      </c>
      <c r="AC24" s="100" t="str">
        <f>IF(
  E24="Connues",
  IF(
    ABS(F24 - VLOOKUP(C24,'Valeurs Règlement Campagne'!$A$4:$T$7,12,FALSE))&lt;=2,
    VLOOKUP(C24,'Valeurs Règlement Campagne'!$A$4:$T$7,12,FALSE),
    IF(
      ABS(F24 - VLOOKUP(C24,'Valeurs Règlement Campagne'!$A$4:$T$7,13,FALSE))&lt;=2,
      VLOOKUP(C24,'Valeurs Règlement Campagne'!$A$4:$T$7,13,FALSE),
      IF(
        ABS(F24 - VLOOKUP(C24,'Valeurs Règlement Campagne'!$A$4:$T$7,14,FALSE))&lt;=2,
        VLOOKUP(C24,'Valeurs Règlement Campagne'!$A$4:$T$7,14,FALSE),
        ""
      )
    )
  ),
  ""
)</f>
        <v/>
      </c>
      <c r="AD24" s="100" t="str">
        <f>IF(
  E24="Connues",
  IF(
    ABS(G24 - VLOOKUP(C24,'Valeurs Règlement Campagne'!$A$4:$T$7,15,FALSE))&lt;=2,
    VLOOKUP(C24,'Valeurs Règlement Campagne'!$A$4:$T$7,15,FALSE),
    IF(
      ABS(G24 - VLOOKUP(C24,'Valeurs Règlement Campagne'!$A$4:$T$7,16,FALSE))&lt;=2,
      VLOOKUP(C24,'Valeurs Règlement Campagne'!$A$4:$T$7,16,FALSE),
      IF(
        ABS(G24 - VLOOKUP(C24,'Valeurs Règlement Campagne'!$A$4:$T$7,17,FALSE))&lt;=2,
        VLOOKUP(C24,'Valeurs Règlement Campagne'!$A$4:$T$7,17,FALSE),
        ""
      )
    )
  ),
  ""
)</f>
        <v/>
      </c>
      <c r="AE24" s="100" t="str">
        <f>IF(
  E24="Connues",
  IF(
    ABS(H24 - VLOOKUP(C24,'Valeurs Règlement Campagne'!$A$4:$T$7,15,FALSE))&lt;=2,
    VLOOKUP(C24,'Valeurs Règlement Campagne'!$A$4:$T$7,15,FALSE),
    IF(
      ABS(H24 - VLOOKUP(C24,'Valeurs Règlement Campagne'!$A$4:$T$7,16,FALSE))&lt;=2,
      VLOOKUP(C24,'Valeurs Règlement Campagne'!$A$4:$T$7,16,FALSE),
      IF(
        ABS(H24 - VLOOKUP(C24,'Valeurs Règlement Campagne'!$A$4:$T$7,17,FALSE))&lt;=2,
        VLOOKUP(C24,'Valeurs Règlement Campagne'!$A$4:$T$7,17,FALSE),
        ""
      )
    )
  ),
  ""
)</f>
        <v/>
      </c>
    </row>
    <row r="25" spans="1:212" ht="20.75" customHeight="1">
      <c r="A25" s="213">
        <v>20</v>
      </c>
      <c r="B25" s="216" t="str">
        <f>IF(NOT(ISBLANK(Organisateur!B25)),Organisateur!B25," ")</f>
        <v xml:space="preserve"> </v>
      </c>
      <c r="C25" s="254" t="str">
        <f>IF(NOT(ISBLANK(Organisateur!C25)),Organisateur!C25," ")</f>
        <v xml:space="preserve"> </v>
      </c>
      <c r="D25" s="254"/>
      <c r="E25" s="210" t="str">
        <f>IF(NOT(ISBLANK(Organisateur!E25)),Organisateur!E25," ")</f>
        <v xml:space="preserve"> </v>
      </c>
      <c r="F25" s="183" t="str">
        <f>IF(NOT(ISBLANK(Organisateur!F25)),Organisateur!F25," ")</f>
        <v xml:space="preserve"> </v>
      </c>
      <c r="G25" s="183" t="str">
        <f>IF(NOT(ISBLANK(Organisateur!G25)),Organisateur!G25," ")</f>
        <v xml:space="preserve"> </v>
      </c>
      <c r="H25" s="183" t="str">
        <f>IF(NOT(ISBLANK(Organisateur!H25)),Organisateur!H25," ")</f>
        <v xml:space="preserve"> </v>
      </c>
      <c r="I25" s="183" t="str">
        <f>IF(NOT(ISBLANK(Organisateur!I25)),Organisateur!I25," ")</f>
        <v xml:space="preserve"> </v>
      </c>
      <c r="J25" s="101"/>
      <c r="K25" s="102" t="str">
        <f>IF($E25=" "," ",IF($E25=$D$31,VLOOKUP($C25,'Valeurs Règlement Campagne'!$A$4:$T$7,12,FALSE),VLOOKUP($C25,'Valeurs Règlement Campagne'!$A$4:$I$7,4,FALSE)))</f>
        <v xml:space="preserve"> </v>
      </c>
      <c r="L25" s="103" t="str">
        <f>IF($E25=" "," ",IF($E25=$D$31,VLOOKUP($C25,'Valeurs Règlement Campagne'!$A$4:$T$7,14,FALSE),VLOOKUP($C25,'Valeurs Règlement Campagne'!$A$4:$L$7,5,FALSE)))</f>
        <v xml:space="preserve"> </v>
      </c>
      <c r="M25" s="102" t="str">
        <f>IF($E25=" "," ",IF($E25=$D$31,VLOOKUP($C25,'Valeurs Règlement Campagne'!$A$4:$T$7,15,FALSE),VLOOKUP($C25,'Valeurs Règlement Campagne'!$A$4:$M$7,6,FALSE)))</f>
        <v xml:space="preserve"> </v>
      </c>
      <c r="N25" s="103" t="str">
        <f>IF($E25=" "," ",IF($E25=$D$31,VLOOKUP($C25,'Valeurs Règlement Campagne'!$A$4:$T$7,17,FALSE),VLOOKUP($C25,'Valeurs Règlement Campagne'!$A$4:$N$7,7,FALSE)))</f>
        <v xml:space="preserve"> </v>
      </c>
      <c r="O25" s="187" t="str">
        <f>IF($E25=" "," ",IF($E25=$D$31,VLOOKUP($C25,'Valeurs Règlement Campagne'!$A$4:$T$7,18,FALSE),VLOOKUP($C25,'Valeurs Règlement Campagne'!$A$4:$O$7,8,FALSE)))</f>
        <v xml:space="preserve"> </v>
      </c>
      <c r="P25" s="186" t="str">
        <f>IF($E25=" "," ",IF($E25=$D$31,VLOOKUP($C25,'Valeurs Règlement Campagne'!$A$4:$T$7,20,FALSE),VLOOKUP($C25,'Valeurs Règlement Campagne'!$A$4:$P$7,9,FALSE)))</f>
        <v xml:space="preserve"> </v>
      </c>
      <c r="Q25" s="190" t="str">
        <f t="shared" si="6"/>
        <v xml:space="preserve"> </v>
      </c>
      <c r="R25" s="112" t="str" cm="1">
        <f t="array" ref="R25">IF(C25=" "," ",
IF(AND(E25="Connues",AC25&lt;&gt;"",
COUNTIFS(AC$5:AC$29,AC25,C$5:C$29,C25)&gt;1),
"Doublon",
IF(AND(E25="Connues",
SUMPRODUCT(
(E$5:E$29="Connues")*
(C$5:C$29=C25)*
(ROW($5:$29)&lt;&gt;ROW())*
(ABS(N(F$5:F$29)-N(F25))&lt;=2)*
(
(ABS(N(F$5:F$29)-N(IFERROR(VLOOKUP(C25,'Valeurs Règlement Campagne'!$A$4:$T$7,12,FALSE),0)))&lt;=2)+
(ABS(N(F$5:F$29)-N(IFERROR(VLOOKUP(C25,'Valeurs Règlement Campagne'!$A$4:$T$7,13,FALSE),0)))&lt;=2)+
(ABS(N(F$5:F$29)-N(IFERROR(VLOOKUP(C25,'Valeurs Règlement Campagne'!$A$4:$T$7,14,FALSE),0)))&lt;=2)
)
)&gt;0),
"Doublon",
IF($C25=0," ",
IF(N(F25)=0," ",
IF(E25="Inconnues",
AND(N(F25)&gt;=N(K25),N(F25)&lt;=N(L25)),
IF(AND('Valeurs Règlement Campagne'!$L$14="OUI",E25="Connues"),
AND(N(F25)&gt;=N(K25)-2,N(F25)&lt;=N(L25)+2),
OR(N(F25)=N(K25),N(F25)=N(K25)+5,N(F25)=N(L25))
)
)
)
)
)))</f>
        <v xml:space="preserve"> </v>
      </c>
      <c r="S25" s="113" t="str" cm="1">
        <f t="array" ref="S25">IF(C25=" "," ",
IF(AND(E25="Connues",AD25&lt;&gt;"",
COUNTIFS(AD$5:AD$29,AD25,C$5:C$29,C25)&gt;1),
"Doublon",
IF(AND(E25="Connues",
SUMPRODUCT(
(E$5:E$29="Connues")*
(C$5:C$29=C25)*
(ROW($5:$29)&lt;&gt;ROW())*
(ABS(N(G$5:G$29)-N(G25))&lt;=2)*
(
(ABS(N(G$5:G$29)-N(IFERROR(VLOOKUP(C25,'Valeurs Règlement Campagne'!$A$4:$T$7,15,FALSE),0)))&lt;=2)+
(ABS(N(G$5:G$29)-N(IFERROR(VLOOKUP(C25,'Valeurs Règlement Campagne'!$A$4:$T$7,16,FALSE),0)))&lt;=2)+
(ABS(N(G$5:G$29)-N(IFERROR(VLOOKUP(C25,'Valeurs Règlement Campagne'!$A$4:$T$7,17,FALSE),0)))&lt;=2)
)
)&gt;0),
"Doublon",
IF($C25=0," ",
IF(N(G25)=0," ",
IF(E25="Inconnues",
AND(N(G25)&gt;=N(M25),N(G25)&lt;=N(N25)),
IF(AND('Valeurs Règlement Campagne'!$L$14="OUI",E25="Connues"),
AND(N(G25)&gt;=N(M25)-2,N(G25)&lt;=N(N25)+2),
OR(N(G25)=N(M25),N(G25)=N(M25)+5,N(G25)=N(N25))
)
)
)
)
)))</f>
        <v xml:space="preserve"> </v>
      </c>
      <c r="T25" s="113" t="str" cm="1">
        <f t="array" ref="T25">IF(C25=" "," ",
IF(AND(E25="Connues",AE25&lt;&gt;"",
COUNTIFS(AE$5:AE$29,AE25,C$5:C$29,C25)&gt;1),
"Doublon",
IF(AND(E25="Connues",
SUMPRODUCT(
(E$5:E$29="Connues")*
(C$5:C$29=C25)*
(ROW($5:$29)&lt;&gt;ROW())*
(ABS(N(H$5:H$29)-N(H25))&lt;=2)*
(
(ABS(N(H$5:H$29)-N(IFERROR(VLOOKUP(C25,'Valeurs Règlement Campagne'!$A$4:$T$7,18,FALSE),0)))&lt;=2)+
(ABS(N(H$5:H$29)-N(IFERROR(VLOOKUP(C25,'Valeurs Règlement Campagne'!$A$4:$T$7,19,FALSE),0)))&lt;=2)+
(ABS(N(H$5:H$29)-N(IFERROR(VLOOKUP(C25,'Valeurs Règlement Campagne'!$A$4:$T$7,20,FALSE),0)))&lt;=2)
)
)&gt;0),
"Doublon",
IF($C25=0," ",
IF(N(H25)=0," ",
IF(E25="Inconnues",
AND(N(H25)&gt;=N(O25),N(H25)&lt;=N(P25)),
IF(AND('Valeurs Règlement Campagne'!$L$14="OUI",E25="Connues"),
AND(N(H25)&gt;=N(O25)-2,N(H25)&lt;=N(P25)+2),
OR(N(H25)=N(O25),N(H25)=N(O25)+5,N(H25)=N(P25))
)
)
)
)
)))</f>
        <v xml:space="preserve"> </v>
      </c>
      <c r="U25" s="192" t="str">
        <f>IF($C25=" "," ",IF(I25=" "," ",IF('Valeurs Règlement Campagne'!$L$14="OUI",AND(I25&gt;=O25-2,I25&lt;=Q25+2),OR(I25=O25,I25=O25+5,I25=Q25))))</f>
        <v xml:space="preserve"> </v>
      </c>
      <c r="V25" s="220" t="str">
        <f t="shared" si="1"/>
        <v xml:space="preserve"> </v>
      </c>
      <c r="W25" s="218"/>
      <c r="X25" s="218" t="str">
        <f t="shared" si="2"/>
        <v xml:space="preserve"> </v>
      </c>
      <c r="Y25" s="218"/>
      <c r="Z25" s="218" t="str">
        <f t="shared" si="3"/>
        <v xml:space="preserve"> </v>
      </c>
      <c r="AA25" s="252"/>
      <c r="AB25" s="110" t="str">
        <f t="shared" si="7"/>
        <v/>
      </c>
      <c r="AC25" s="100" t="str">
        <f>IF(
  E25="Connues",
  IF(
    ABS(F25 - VLOOKUP(C25,'Valeurs Règlement Campagne'!$A$4:$T$7,12,FALSE))&lt;=2,
    VLOOKUP(C25,'Valeurs Règlement Campagne'!$A$4:$T$7,12,FALSE),
    IF(
      ABS(F25 - VLOOKUP(C25,'Valeurs Règlement Campagne'!$A$4:$T$7,13,FALSE))&lt;=2,
      VLOOKUP(C25,'Valeurs Règlement Campagne'!$A$4:$T$7,13,FALSE),
      IF(
        ABS(F25 - VLOOKUP(C25,'Valeurs Règlement Campagne'!$A$4:$T$7,14,FALSE))&lt;=2,
        VLOOKUP(C25,'Valeurs Règlement Campagne'!$A$4:$T$7,14,FALSE),
        ""
      )
    )
  ),
  ""
)</f>
        <v/>
      </c>
      <c r="AD25" s="100" t="str">
        <f>IF(
  E25="Connues",
  IF(
    ABS(G25 - VLOOKUP(C25,'Valeurs Règlement Campagne'!$A$4:$T$7,15,FALSE))&lt;=2,
    VLOOKUP(C25,'Valeurs Règlement Campagne'!$A$4:$T$7,15,FALSE),
    IF(
      ABS(G25 - VLOOKUP(C25,'Valeurs Règlement Campagne'!$A$4:$T$7,16,FALSE))&lt;=2,
      VLOOKUP(C25,'Valeurs Règlement Campagne'!$A$4:$T$7,16,FALSE),
      IF(
        ABS(G25 - VLOOKUP(C25,'Valeurs Règlement Campagne'!$A$4:$T$7,17,FALSE))&lt;=2,
        VLOOKUP(C25,'Valeurs Règlement Campagne'!$A$4:$T$7,17,FALSE),
        ""
      )
    )
  ),
  ""
)</f>
        <v/>
      </c>
      <c r="AE25" s="100" t="str">
        <f>IF(
  E25="Connues",
  IF(
    ABS(H25 - VLOOKUP(C25,'Valeurs Règlement Campagne'!$A$4:$T$7,15,FALSE))&lt;=2,
    VLOOKUP(C25,'Valeurs Règlement Campagne'!$A$4:$T$7,15,FALSE),
    IF(
      ABS(H25 - VLOOKUP(C25,'Valeurs Règlement Campagne'!$A$4:$T$7,16,FALSE))&lt;=2,
      VLOOKUP(C25,'Valeurs Règlement Campagne'!$A$4:$T$7,16,FALSE),
      IF(
        ABS(H25 - VLOOKUP(C25,'Valeurs Règlement Campagne'!$A$4:$T$7,17,FALSE))&lt;=2,
        VLOOKUP(C25,'Valeurs Règlement Campagne'!$A$4:$T$7,17,FALSE),
        ""
      )
    )
  ),
  ""
)</f>
        <v/>
      </c>
    </row>
    <row r="26" spans="1:212" ht="20.75" customHeight="1">
      <c r="A26" s="213">
        <v>21</v>
      </c>
      <c r="B26" s="216" t="str">
        <f>IF(NOT(ISBLANK(Organisateur!B26)),Organisateur!B26," ")</f>
        <v xml:space="preserve"> </v>
      </c>
      <c r="C26" s="254" t="str">
        <f>IF(NOT(ISBLANK(Organisateur!C26)),Organisateur!C26," ")</f>
        <v xml:space="preserve"> </v>
      </c>
      <c r="D26" s="254"/>
      <c r="E26" s="210" t="str">
        <f>IF(NOT(ISBLANK(Organisateur!E26)),Organisateur!E26," ")</f>
        <v xml:space="preserve"> </v>
      </c>
      <c r="F26" s="183" t="str">
        <f>IF(NOT(ISBLANK(Organisateur!F26)),Organisateur!F26," ")</f>
        <v xml:space="preserve"> </v>
      </c>
      <c r="G26" s="183" t="str">
        <f>IF(NOT(ISBLANK(Organisateur!G26)),Organisateur!G26," ")</f>
        <v xml:space="preserve"> </v>
      </c>
      <c r="H26" s="183" t="str">
        <f>IF(NOT(ISBLANK(Organisateur!H26)),Organisateur!H26," ")</f>
        <v xml:space="preserve"> </v>
      </c>
      <c r="I26" s="183" t="str">
        <f>IF(NOT(ISBLANK(Organisateur!I26)),Organisateur!I26," ")</f>
        <v xml:space="preserve"> </v>
      </c>
      <c r="J26" s="101"/>
      <c r="K26" s="102" t="str">
        <f>IF($E26=" "," ",IF($E26=$D$31,VLOOKUP($C26,'Valeurs Règlement Campagne'!$A$4:$T$7,12,FALSE),VLOOKUP($C26,'Valeurs Règlement Campagne'!$A$4:$I$7,4,FALSE)))</f>
        <v xml:space="preserve"> </v>
      </c>
      <c r="L26" s="103" t="str">
        <f>IF($E26=" "," ",IF($E26=$D$31,VLOOKUP($C26,'Valeurs Règlement Campagne'!$A$4:$T$7,14,FALSE),VLOOKUP($C26,'Valeurs Règlement Campagne'!$A$4:$L$7,5,FALSE)))</f>
        <v xml:space="preserve"> </v>
      </c>
      <c r="M26" s="102" t="str">
        <f>IF($E26=" "," ",IF($E26=$D$31,VLOOKUP($C26,'Valeurs Règlement Campagne'!$A$4:$T$7,15,FALSE),VLOOKUP($C26,'Valeurs Règlement Campagne'!$A$4:$M$7,6,FALSE)))</f>
        <v xml:space="preserve"> </v>
      </c>
      <c r="N26" s="103" t="str">
        <f>IF($E26=" "," ",IF($E26=$D$31,VLOOKUP($C26,'Valeurs Règlement Campagne'!$A$4:$T$7,17,FALSE),VLOOKUP($C26,'Valeurs Règlement Campagne'!$A$4:$N$7,7,FALSE)))</f>
        <v xml:space="preserve"> </v>
      </c>
      <c r="O26" s="187" t="str">
        <f>IF($E26=" "," ",IF($E26=$D$31,VLOOKUP($C26,'Valeurs Règlement Campagne'!$A$4:$T$7,18,FALSE),VLOOKUP($C26,'Valeurs Règlement Campagne'!$A$4:$O$7,8,FALSE)))</f>
        <v xml:space="preserve"> </v>
      </c>
      <c r="P26" s="186" t="str">
        <f>IF($E26=" "," ",IF($E26=$D$31,VLOOKUP($C26,'Valeurs Règlement Campagne'!$A$4:$T$7,20,FALSE),VLOOKUP($C26,'Valeurs Règlement Campagne'!$A$4:$P$7,9,FALSE)))</f>
        <v xml:space="preserve"> </v>
      </c>
      <c r="Q26" s="190" t="str">
        <f t="shared" si="6"/>
        <v xml:space="preserve"> </v>
      </c>
      <c r="R26" s="112" t="str" cm="1">
        <f t="array" ref="R26">IF(C26=" "," ",
IF(AND(E26="Connues",AC26&lt;&gt;"",
COUNTIFS(AC$5:AC$29,AC26,C$5:C$29,C26)&gt;1),
"Doublon",
IF(AND(E26="Connues",
SUMPRODUCT(
(E$5:E$29="Connues")*
(C$5:C$29=C26)*
(ROW($5:$29)&lt;&gt;ROW())*
(ABS(N(F$5:F$29)-N(F26))&lt;=2)*
(
(ABS(N(F$5:F$29)-N(IFERROR(VLOOKUP(C26,'Valeurs Règlement Campagne'!$A$4:$T$7,12,FALSE),0)))&lt;=2)+
(ABS(N(F$5:F$29)-N(IFERROR(VLOOKUP(C26,'Valeurs Règlement Campagne'!$A$4:$T$7,13,FALSE),0)))&lt;=2)+
(ABS(N(F$5:F$29)-N(IFERROR(VLOOKUP(C26,'Valeurs Règlement Campagne'!$A$4:$T$7,14,FALSE),0)))&lt;=2)
)
)&gt;0),
"Doublon",
IF($C26=0," ",
IF(N(F26)=0," ",
IF(E26="Inconnues",
AND(N(F26)&gt;=N(K26),N(F26)&lt;=N(L26)),
IF(AND('Valeurs Règlement Campagne'!$L$14="OUI",E26="Connues"),
AND(N(F26)&gt;=N(K26)-2,N(F26)&lt;=N(L26)+2),
OR(N(F26)=N(K26),N(F26)=N(K26)+5,N(F26)=N(L26))
)
)
)
)
)))</f>
        <v xml:space="preserve"> </v>
      </c>
      <c r="S26" s="113" t="str" cm="1">
        <f t="array" ref="S26">IF(C26=" "," ",
IF(AND(E26="Connues",AD26&lt;&gt;"",
COUNTIFS(AD$5:AD$29,AD26,C$5:C$29,C26)&gt;1),
"Doublon",
IF(AND(E26="Connues",
SUMPRODUCT(
(E$5:E$29="Connues")*
(C$5:C$29=C26)*
(ROW($5:$29)&lt;&gt;ROW())*
(ABS(N(G$5:G$29)-N(G26))&lt;=2)*
(
(ABS(N(G$5:G$29)-N(IFERROR(VLOOKUP(C26,'Valeurs Règlement Campagne'!$A$4:$T$7,15,FALSE),0)))&lt;=2)+
(ABS(N(G$5:G$29)-N(IFERROR(VLOOKUP(C26,'Valeurs Règlement Campagne'!$A$4:$T$7,16,FALSE),0)))&lt;=2)+
(ABS(N(G$5:G$29)-N(IFERROR(VLOOKUP(C26,'Valeurs Règlement Campagne'!$A$4:$T$7,17,FALSE),0)))&lt;=2)
)
)&gt;0),
"Doublon",
IF($C26=0," ",
IF(N(G26)=0," ",
IF(E26="Inconnues",
AND(N(G26)&gt;=N(M26),N(G26)&lt;=N(N26)),
IF(AND('Valeurs Règlement Campagne'!$L$14="OUI",E26="Connues"),
AND(N(G26)&gt;=N(M26)-2,N(G26)&lt;=N(N26)+2),
OR(N(G26)=N(M26),N(G26)=N(M26)+5,N(G26)=N(N26))
)
)
)
)
)))</f>
        <v xml:space="preserve"> </v>
      </c>
      <c r="T26" s="113" t="str" cm="1">
        <f t="array" ref="T26">IF(C26=" "," ",
IF(AND(E26="Connues",AE26&lt;&gt;"",
COUNTIFS(AE$5:AE$29,AE26,C$5:C$29,C26)&gt;1),
"Doublon",
IF(AND(E26="Connues",
SUMPRODUCT(
(E$5:E$29="Connues")*
(C$5:C$29=C26)*
(ROW($5:$29)&lt;&gt;ROW())*
(ABS(N(H$5:H$29)-N(H26))&lt;=2)*
(
(ABS(N(H$5:H$29)-N(IFERROR(VLOOKUP(C26,'Valeurs Règlement Campagne'!$A$4:$T$7,18,FALSE),0)))&lt;=2)+
(ABS(N(H$5:H$29)-N(IFERROR(VLOOKUP(C26,'Valeurs Règlement Campagne'!$A$4:$T$7,19,FALSE),0)))&lt;=2)+
(ABS(N(H$5:H$29)-N(IFERROR(VLOOKUP(C26,'Valeurs Règlement Campagne'!$A$4:$T$7,20,FALSE),0)))&lt;=2)
)
)&gt;0),
"Doublon",
IF($C26=0," ",
IF(N(H26)=0," ",
IF(E26="Inconnues",
AND(N(H26)&gt;=N(O26),N(H26)&lt;=N(P26)),
IF(AND('Valeurs Règlement Campagne'!$L$14="OUI",E26="Connues"),
AND(N(H26)&gt;=N(O26)-2,N(H26)&lt;=N(P26)+2),
OR(N(H26)=N(O26),N(H26)=N(O26)+5,N(H26)=N(P26))
)
)
)
)
)))</f>
        <v xml:space="preserve"> </v>
      </c>
      <c r="U26" s="192" t="str">
        <f>IF($C26=" "," ",IF(I26=" "," ",IF('Valeurs Règlement Campagne'!$L$14="OUI",AND(I26&gt;=O26-2,I26&lt;=Q26+2),OR(I26=O26,I26=O26+5,I26=Q26))))</f>
        <v xml:space="preserve"> </v>
      </c>
      <c r="V26" s="220" t="str">
        <f t="shared" si="1"/>
        <v xml:space="preserve"> </v>
      </c>
      <c r="W26" s="218"/>
      <c r="X26" s="218" t="str">
        <f t="shared" si="2"/>
        <v xml:space="preserve"> </v>
      </c>
      <c r="Y26" s="218"/>
      <c r="Z26" s="218" t="str">
        <f t="shared" si="3"/>
        <v xml:space="preserve"> </v>
      </c>
      <c r="AA26" s="252"/>
      <c r="AB26" s="110" t="str">
        <f t="shared" si="7"/>
        <v/>
      </c>
      <c r="AC26" s="100" t="str">
        <f>IF(
  E26="Connues",
  IF(
    ABS(F26 - VLOOKUP(C26,'Valeurs Règlement Campagne'!$A$4:$T$7,12,FALSE))&lt;=2,
    VLOOKUP(C26,'Valeurs Règlement Campagne'!$A$4:$T$7,12,FALSE),
    IF(
      ABS(F26 - VLOOKUP(C26,'Valeurs Règlement Campagne'!$A$4:$T$7,13,FALSE))&lt;=2,
      VLOOKUP(C26,'Valeurs Règlement Campagne'!$A$4:$T$7,13,FALSE),
      IF(
        ABS(F26 - VLOOKUP(C26,'Valeurs Règlement Campagne'!$A$4:$T$7,14,FALSE))&lt;=2,
        VLOOKUP(C26,'Valeurs Règlement Campagne'!$A$4:$T$7,14,FALSE),
        ""
      )
    )
  ),
  ""
)</f>
        <v/>
      </c>
      <c r="AD26" s="100" t="str">
        <f>IF(
  E26="Connues",
  IF(
    ABS(G26 - VLOOKUP(C26,'Valeurs Règlement Campagne'!$A$4:$T$7,15,FALSE))&lt;=2,
    VLOOKUP(C26,'Valeurs Règlement Campagne'!$A$4:$T$7,15,FALSE),
    IF(
      ABS(G26 - VLOOKUP(C26,'Valeurs Règlement Campagne'!$A$4:$T$7,16,FALSE))&lt;=2,
      VLOOKUP(C26,'Valeurs Règlement Campagne'!$A$4:$T$7,16,FALSE),
      IF(
        ABS(G26 - VLOOKUP(C26,'Valeurs Règlement Campagne'!$A$4:$T$7,17,FALSE))&lt;=2,
        VLOOKUP(C26,'Valeurs Règlement Campagne'!$A$4:$T$7,17,FALSE),
        ""
      )
    )
  ),
  ""
)</f>
        <v/>
      </c>
      <c r="AE26" s="100" t="str">
        <f>IF(
  E26="Connues",
  IF(
    ABS(H26 - VLOOKUP(C26,'Valeurs Règlement Campagne'!$A$4:$T$7,15,FALSE))&lt;=2,
    VLOOKUP(C26,'Valeurs Règlement Campagne'!$A$4:$T$7,15,FALSE),
    IF(
      ABS(H26 - VLOOKUP(C26,'Valeurs Règlement Campagne'!$A$4:$T$7,16,FALSE))&lt;=2,
      VLOOKUP(C26,'Valeurs Règlement Campagne'!$A$4:$T$7,16,FALSE),
      IF(
        ABS(H26 - VLOOKUP(C26,'Valeurs Règlement Campagne'!$A$4:$T$7,17,FALSE))&lt;=2,
        VLOOKUP(C26,'Valeurs Règlement Campagne'!$A$4:$T$7,17,FALSE),
        ""
      )
    )
  ),
  ""
)</f>
        <v/>
      </c>
    </row>
    <row r="27" spans="1:212" ht="20.75" customHeight="1">
      <c r="A27" s="213">
        <v>22</v>
      </c>
      <c r="B27" s="216" t="str">
        <f>IF(NOT(ISBLANK(Organisateur!B27)),Organisateur!B27," ")</f>
        <v xml:space="preserve"> </v>
      </c>
      <c r="C27" s="254" t="str">
        <f>IF(NOT(ISBLANK(Organisateur!C27)),Organisateur!C27," ")</f>
        <v xml:space="preserve"> </v>
      </c>
      <c r="D27" s="254"/>
      <c r="E27" s="210" t="str">
        <f>IF(NOT(ISBLANK(Organisateur!E27)),Organisateur!E27," ")</f>
        <v xml:space="preserve"> </v>
      </c>
      <c r="F27" s="183" t="str">
        <f>IF(NOT(ISBLANK(Organisateur!F27)),Organisateur!F27," ")</f>
        <v xml:space="preserve"> </v>
      </c>
      <c r="G27" s="183" t="str">
        <f>IF(NOT(ISBLANK(Organisateur!G27)),Organisateur!G27," ")</f>
        <v xml:space="preserve"> </v>
      </c>
      <c r="H27" s="183" t="str">
        <f>IF(NOT(ISBLANK(Organisateur!H27)),Organisateur!H27," ")</f>
        <v xml:space="preserve"> </v>
      </c>
      <c r="I27" s="183" t="str">
        <f>IF(NOT(ISBLANK(Organisateur!I27)),Organisateur!I27," ")</f>
        <v xml:space="preserve"> </v>
      </c>
      <c r="J27" s="101"/>
      <c r="K27" s="102" t="str">
        <f>IF($E27=" "," ",IF($E27=$D$31,VLOOKUP($C27,'Valeurs Règlement Campagne'!$A$4:$T$7,12,FALSE),VLOOKUP($C27,'Valeurs Règlement Campagne'!$A$4:$I$7,4,FALSE)))</f>
        <v xml:space="preserve"> </v>
      </c>
      <c r="L27" s="103" t="str">
        <f>IF($E27=" "," ",IF($E27=$D$31,VLOOKUP($C27,'Valeurs Règlement Campagne'!$A$4:$T$7,14,FALSE),VLOOKUP($C27,'Valeurs Règlement Campagne'!$A$4:$L$7,5,FALSE)))</f>
        <v xml:space="preserve"> </v>
      </c>
      <c r="M27" s="102" t="str">
        <f>IF($E27=" "," ",IF($E27=$D$31,VLOOKUP($C27,'Valeurs Règlement Campagne'!$A$4:$T$7,15,FALSE),VLOOKUP($C27,'Valeurs Règlement Campagne'!$A$4:$M$7,6,FALSE)))</f>
        <v xml:space="preserve"> </v>
      </c>
      <c r="N27" s="103" t="str">
        <f>IF($E27=" "," ",IF($E27=$D$31,VLOOKUP($C27,'Valeurs Règlement Campagne'!$A$4:$T$7,17,FALSE),VLOOKUP($C27,'Valeurs Règlement Campagne'!$A$4:$N$7,7,FALSE)))</f>
        <v xml:space="preserve"> </v>
      </c>
      <c r="O27" s="187" t="str">
        <f>IF($E27=" "," ",IF($E27=$D$31,VLOOKUP($C27,'Valeurs Règlement Campagne'!$A$4:$T$7,18,FALSE),VLOOKUP($C27,'Valeurs Règlement Campagne'!$A$4:$O$7,8,FALSE)))</f>
        <v xml:space="preserve"> </v>
      </c>
      <c r="P27" s="186" t="str">
        <f>IF($E27=" "," ",IF($E27=$D$31,VLOOKUP($C27,'Valeurs Règlement Campagne'!$A$4:$T$7,20,FALSE),VLOOKUP($C27,'Valeurs Règlement Campagne'!$A$4:$P$7,9,FALSE)))</f>
        <v xml:space="preserve"> </v>
      </c>
      <c r="Q27" s="190" t="str">
        <f t="shared" si="6"/>
        <v xml:space="preserve"> </v>
      </c>
      <c r="R27" s="112" t="str" cm="1">
        <f t="array" ref="R27">IF(C27=" "," ",
IF(AND(E27="Connues",AC27&lt;&gt;"",
COUNTIFS(AC$5:AC$29,AC27,C$5:C$29,C27)&gt;1),
"Doublon",
IF(AND(E27="Connues",
SUMPRODUCT(
(E$5:E$29="Connues")*
(C$5:C$29=C27)*
(ROW($5:$29)&lt;&gt;ROW())*
(ABS(N(F$5:F$29)-N(F27))&lt;=2)*
(
(ABS(N(F$5:F$29)-N(IFERROR(VLOOKUP(C27,'Valeurs Règlement Campagne'!$A$4:$T$7,12,FALSE),0)))&lt;=2)+
(ABS(N(F$5:F$29)-N(IFERROR(VLOOKUP(C27,'Valeurs Règlement Campagne'!$A$4:$T$7,13,FALSE),0)))&lt;=2)+
(ABS(N(F$5:F$29)-N(IFERROR(VLOOKUP(C27,'Valeurs Règlement Campagne'!$A$4:$T$7,14,FALSE),0)))&lt;=2)
)
)&gt;0),
"Doublon",
IF($C27=0," ",
IF(N(F27)=0," ",
IF(E27="Inconnues",
AND(N(F27)&gt;=N(K27),N(F27)&lt;=N(L27)),
IF(AND('Valeurs Règlement Campagne'!$L$14="OUI",E27="Connues"),
AND(N(F27)&gt;=N(K27)-2,N(F27)&lt;=N(L27)+2),
OR(N(F27)=N(K27),N(F27)=N(K27)+5,N(F27)=N(L27))
)
)
)
)
)))</f>
        <v xml:space="preserve"> </v>
      </c>
      <c r="S27" s="113" t="str" cm="1">
        <f t="array" ref="S27">IF(C27=" "," ",
IF(AND(E27="Connues",AD27&lt;&gt;"",
COUNTIFS(AD$5:AD$29,AD27,C$5:C$29,C27)&gt;1),
"Doublon",
IF(AND(E27="Connues",
SUMPRODUCT(
(E$5:E$29="Connues")*
(C$5:C$29=C27)*
(ROW($5:$29)&lt;&gt;ROW())*
(ABS(N(G$5:G$29)-N(G27))&lt;=2)*
(
(ABS(N(G$5:G$29)-N(IFERROR(VLOOKUP(C27,'Valeurs Règlement Campagne'!$A$4:$T$7,15,FALSE),0)))&lt;=2)+
(ABS(N(G$5:G$29)-N(IFERROR(VLOOKUP(C27,'Valeurs Règlement Campagne'!$A$4:$T$7,16,FALSE),0)))&lt;=2)+
(ABS(N(G$5:G$29)-N(IFERROR(VLOOKUP(C27,'Valeurs Règlement Campagne'!$A$4:$T$7,17,FALSE),0)))&lt;=2)
)
)&gt;0),
"Doublon",
IF($C27=0," ",
IF(N(G27)=0," ",
IF(E27="Inconnues",
AND(N(G27)&gt;=N(M27),N(G27)&lt;=N(N27)),
IF(AND('Valeurs Règlement Campagne'!$L$14="OUI",E27="Connues"),
AND(N(G27)&gt;=N(M27)-2,N(G27)&lt;=N(N27)+2),
OR(N(G27)=N(M27),N(G27)=N(M27)+5,N(G27)=N(N27))
)
)
)
)
)))</f>
        <v xml:space="preserve"> </v>
      </c>
      <c r="T27" s="113" t="str" cm="1">
        <f t="array" ref="T27">IF(C27=" "," ",
IF(AND(E27="Connues",AE27&lt;&gt;"",
COUNTIFS(AE$5:AE$29,AE27,C$5:C$29,C27)&gt;1),
"Doublon",
IF(AND(E27="Connues",
SUMPRODUCT(
(E$5:E$29="Connues")*
(C$5:C$29=C27)*
(ROW($5:$29)&lt;&gt;ROW())*
(ABS(N(H$5:H$29)-N(H27))&lt;=2)*
(
(ABS(N(H$5:H$29)-N(IFERROR(VLOOKUP(C27,'Valeurs Règlement Campagne'!$A$4:$T$7,18,FALSE),0)))&lt;=2)+
(ABS(N(H$5:H$29)-N(IFERROR(VLOOKUP(C27,'Valeurs Règlement Campagne'!$A$4:$T$7,19,FALSE),0)))&lt;=2)+
(ABS(N(H$5:H$29)-N(IFERROR(VLOOKUP(C27,'Valeurs Règlement Campagne'!$A$4:$T$7,20,FALSE),0)))&lt;=2)
)
)&gt;0),
"Doublon",
IF($C27=0," ",
IF(N(H27)=0," ",
IF(E27="Inconnues",
AND(N(H27)&gt;=N(O27),N(H27)&lt;=N(P27)),
IF(AND('Valeurs Règlement Campagne'!$L$14="OUI",E27="Connues"),
AND(N(H27)&gt;=N(O27)-2,N(H27)&lt;=N(P27)+2),
OR(N(H27)=N(O27),N(H27)=N(O27)+5,N(H27)=N(P27))
)
)
)
)
)))</f>
        <v xml:space="preserve"> </v>
      </c>
      <c r="U27" s="192" t="str">
        <f>IF($C27=" "," ",IF(I27=" "," ",IF('Valeurs Règlement Campagne'!$L$14="OUI",AND(I27&gt;=O27-2,I27&lt;=Q27+2),OR(I27=O27,I27=O27+5,I27=Q27))))</f>
        <v xml:space="preserve"> </v>
      </c>
      <c r="V27" s="220" t="str">
        <f t="shared" si="1"/>
        <v xml:space="preserve"> </v>
      </c>
      <c r="W27" s="218"/>
      <c r="X27" s="218" t="str">
        <f t="shared" si="2"/>
        <v xml:space="preserve"> </v>
      </c>
      <c r="Y27" s="218"/>
      <c r="Z27" s="218" t="str">
        <f t="shared" si="3"/>
        <v xml:space="preserve"> </v>
      </c>
      <c r="AA27" s="252"/>
      <c r="AB27" s="110" t="str">
        <f t="shared" si="7"/>
        <v/>
      </c>
      <c r="AC27" s="100" t="str">
        <f>IF(
  E27="Connues",
  IF(
    ABS(F27 - VLOOKUP(C27,'Valeurs Règlement Campagne'!$A$4:$T$7,12,FALSE))&lt;=2,
    VLOOKUP(C27,'Valeurs Règlement Campagne'!$A$4:$T$7,12,FALSE),
    IF(
      ABS(F27 - VLOOKUP(C27,'Valeurs Règlement Campagne'!$A$4:$T$7,13,FALSE))&lt;=2,
      VLOOKUP(C27,'Valeurs Règlement Campagne'!$A$4:$T$7,13,FALSE),
      IF(
        ABS(F27 - VLOOKUP(C27,'Valeurs Règlement Campagne'!$A$4:$T$7,14,FALSE))&lt;=2,
        VLOOKUP(C27,'Valeurs Règlement Campagne'!$A$4:$T$7,14,FALSE),
        ""
      )
    )
  ),
  ""
)</f>
        <v/>
      </c>
      <c r="AD27" s="100" t="str">
        <f>IF(
  E27="Connues",
  IF(
    ABS(G27 - VLOOKUP(C27,'Valeurs Règlement Campagne'!$A$4:$T$7,15,FALSE))&lt;=2,
    VLOOKUP(C27,'Valeurs Règlement Campagne'!$A$4:$T$7,15,FALSE),
    IF(
      ABS(G27 - VLOOKUP(C27,'Valeurs Règlement Campagne'!$A$4:$T$7,16,FALSE))&lt;=2,
      VLOOKUP(C27,'Valeurs Règlement Campagne'!$A$4:$T$7,16,FALSE),
      IF(
        ABS(G27 - VLOOKUP(C27,'Valeurs Règlement Campagne'!$A$4:$T$7,17,FALSE))&lt;=2,
        VLOOKUP(C27,'Valeurs Règlement Campagne'!$A$4:$T$7,17,FALSE),
        ""
      )
    )
  ),
  ""
)</f>
        <v/>
      </c>
      <c r="AE27" s="100" t="str">
        <f>IF(
  E27="Connues",
  IF(
    ABS(H27 - VLOOKUP(C27,'Valeurs Règlement Campagne'!$A$4:$T$7,15,FALSE))&lt;=2,
    VLOOKUP(C27,'Valeurs Règlement Campagne'!$A$4:$T$7,15,FALSE),
    IF(
      ABS(H27 - VLOOKUP(C27,'Valeurs Règlement Campagne'!$A$4:$T$7,16,FALSE))&lt;=2,
      VLOOKUP(C27,'Valeurs Règlement Campagne'!$A$4:$T$7,16,FALSE),
      IF(
        ABS(H27 - VLOOKUP(C27,'Valeurs Règlement Campagne'!$A$4:$T$7,17,FALSE))&lt;=2,
        VLOOKUP(C27,'Valeurs Règlement Campagne'!$A$4:$T$7,17,FALSE),
        ""
      )
    )
  ),
  ""
)</f>
        <v/>
      </c>
    </row>
    <row r="28" spans="1:212" ht="20.75" customHeight="1">
      <c r="A28" s="213">
        <v>23</v>
      </c>
      <c r="B28" s="216" t="str">
        <f>IF(NOT(ISBLANK(Organisateur!B28)),Organisateur!B28," ")</f>
        <v xml:space="preserve"> </v>
      </c>
      <c r="C28" s="254" t="str">
        <f>IF(NOT(ISBLANK(Organisateur!C28)),Organisateur!C28," ")</f>
        <v xml:space="preserve"> </v>
      </c>
      <c r="D28" s="254"/>
      <c r="E28" s="210" t="str">
        <f>IF(NOT(ISBLANK(Organisateur!E28)),Organisateur!E28," ")</f>
        <v xml:space="preserve"> </v>
      </c>
      <c r="F28" s="183" t="str">
        <f>IF(NOT(ISBLANK(Organisateur!F28)),Organisateur!F28," ")</f>
        <v xml:space="preserve"> </v>
      </c>
      <c r="G28" s="183" t="str">
        <f>IF(NOT(ISBLANK(Organisateur!G28)),Organisateur!G28," ")</f>
        <v xml:space="preserve"> </v>
      </c>
      <c r="H28" s="183" t="str">
        <f>IF(NOT(ISBLANK(Organisateur!H28)),Organisateur!H28," ")</f>
        <v xml:space="preserve"> </v>
      </c>
      <c r="I28" s="183" t="str">
        <f>IF(NOT(ISBLANK(Organisateur!I28)),Organisateur!I28," ")</f>
        <v xml:space="preserve"> </v>
      </c>
      <c r="J28" s="101"/>
      <c r="K28" s="102" t="str">
        <f>IF($E28=" "," ",IF($E28=$D$31,VLOOKUP($C28,'Valeurs Règlement Campagne'!$A$4:$T$7,12,FALSE),VLOOKUP($C28,'Valeurs Règlement Campagne'!$A$4:$I$7,4,FALSE)))</f>
        <v xml:space="preserve"> </v>
      </c>
      <c r="L28" s="103" t="str">
        <f>IF($E28=" "," ",IF($E28=$D$31,VLOOKUP($C28,'Valeurs Règlement Campagne'!$A$4:$T$7,14,FALSE),VLOOKUP($C28,'Valeurs Règlement Campagne'!$A$4:$L$7,5,FALSE)))</f>
        <v xml:space="preserve"> </v>
      </c>
      <c r="M28" s="102" t="str">
        <f>IF($E28=" "," ",IF($E28=$D$31,VLOOKUP($C28,'Valeurs Règlement Campagne'!$A$4:$T$7,15,FALSE),VLOOKUP($C28,'Valeurs Règlement Campagne'!$A$4:$M$7,6,FALSE)))</f>
        <v xml:space="preserve"> </v>
      </c>
      <c r="N28" s="103" t="str">
        <f>IF($E28=" "," ",IF($E28=$D$31,VLOOKUP($C28,'Valeurs Règlement Campagne'!$A$4:$T$7,17,FALSE),VLOOKUP($C28,'Valeurs Règlement Campagne'!$A$4:$N$7,7,FALSE)))</f>
        <v xml:space="preserve"> </v>
      </c>
      <c r="O28" s="187" t="str">
        <f>IF($E28=" "," ",IF($E28=$D$31,VLOOKUP($C28,'Valeurs Règlement Campagne'!$A$4:$T$7,18,FALSE),VLOOKUP($C28,'Valeurs Règlement Campagne'!$A$4:$O$7,8,FALSE)))</f>
        <v xml:space="preserve"> </v>
      </c>
      <c r="P28" s="186" t="str">
        <f>IF($E28=" "," ",IF($E28=$D$31,VLOOKUP($C28,'Valeurs Règlement Campagne'!$A$4:$T$7,20,FALSE),VLOOKUP($C28,'Valeurs Règlement Campagne'!$A$4:$P$7,9,FALSE)))</f>
        <v xml:space="preserve"> </v>
      </c>
      <c r="Q28" s="190" t="str">
        <f t="shared" si="6"/>
        <v xml:space="preserve"> </v>
      </c>
      <c r="R28" s="112" t="str" cm="1">
        <f t="array" ref="R28">IF(C28=" "," ",
IF(AND(E28="Connues",AC28&lt;&gt;"",
COUNTIFS(AC$5:AC$29,AC28,C$5:C$29,C28)&gt;1),
"Doublon",
IF(AND(E28="Connues",
SUMPRODUCT(
(E$5:E$29="Connues")*
(C$5:C$29=C28)*
(ROW($5:$29)&lt;&gt;ROW())*
(ABS(N(F$5:F$29)-N(F28))&lt;=2)*
(
(ABS(N(F$5:F$29)-N(IFERROR(VLOOKUP(C28,'Valeurs Règlement Campagne'!$A$4:$T$7,12,FALSE),0)))&lt;=2)+
(ABS(N(F$5:F$29)-N(IFERROR(VLOOKUP(C28,'Valeurs Règlement Campagne'!$A$4:$T$7,13,FALSE),0)))&lt;=2)+
(ABS(N(F$5:F$29)-N(IFERROR(VLOOKUP(C28,'Valeurs Règlement Campagne'!$A$4:$T$7,14,FALSE),0)))&lt;=2)
)
)&gt;0),
"Doublon",
IF($C28=0," ",
IF(N(F28)=0," ",
IF(E28="Inconnues",
AND(N(F28)&gt;=N(K28),N(F28)&lt;=N(L28)),
IF(AND('Valeurs Règlement Campagne'!$L$14="OUI",E28="Connues"),
AND(N(F28)&gt;=N(K28)-2,N(F28)&lt;=N(L28)+2),
OR(N(F28)=N(K28),N(F28)=N(K28)+5,N(F28)=N(L28))
)
)
)
)
)))</f>
        <v xml:space="preserve"> </v>
      </c>
      <c r="S28" s="113" t="str" cm="1">
        <f t="array" ref="S28">IF(C28=" "," ",
IF(AND(E28="Connues",AD28&lt;&gt;"",
COUNTIFS(AD$5:AD$29,AD28,C$5:C$29,C28)&gt;1),
"Doublon",
IF(AND(E28="Connues",
SUMPRODUCT(
(E$5:E$29="Connues")*
(C$5:C$29=C28)*
(ROW($5:$29)&lt;&gt;ROW())*
(ABS(N(G$5:G$29)-N(G28))&lt;=2)*
(
(ABS(N(G$5:G$29)-N(IFERROR(VLOOKUP(C28,'Valeurs Règlement Campagne'!$A$4:$T$7,15,FALSE),0)))&lt;=2)+
(ABS(N(G$5:G$29)-N(IFERROR(VLOOKUP(C28,'Valeurs Règlement Campagne'!$A$4:$T$7,16,FALSE),0)))&lt;=2)+
(ABS(N(G$5:G$29)-N(IFERROR(VLOOKUP(C28,'Valeurs Règlement Campagne'!$A$4:$T$7,17,FALSE),0)))&lt;=2)
)
)&gt;0),
"Doublon",
IF($C28=0," ",
IF(N(G28)=0," ",
IF(E28="Inconnues",
AND(N(G28)&gt;=N(M28),N(G28)&lt;=N(N28)),
IF(AND('Valeurs Règlement Campagne'!$L$14="OUI",E28="Connues"),
AND(N(G28)&gt;=N(M28)-2,N(G28)&lt;=N(N28)+2),
OR(N(G28)=N(M28),N(G28)=N(M28)+5,N(G28)=N(N28))
)
)
)
)
)))</f>
        <v xml:space="preserve"> </v>
      </c>
      <c r="T28" s="113" t="str" cm="1">
        <f t="array" ref="T28">IF(C28=" "," ",
IF(AND(E28="Connues",AE28&lt;&gt;"",
COUNTIFS(AE$5:AE$29,AE28,C$5:C$29,C28)&gt;1),
"Doublon",
IF(AND(E28="Connues",
SUMPRODUCT(
(E$5:E$29="Connues")*
(C$5:C$29=C28)*
(ROW($5:$29)&lt;&gt;ROW())*
(ABS(N(H$5:H$29)-N(H28))&lt;=2)*
(
(ABS(N(H$5:H$29)-N(IFERROR(VLOOKUP(C28,'Valeurs Règlement Campagne'!$A$4:$T$7,18,FALSE),0)))&lt;=2)+
(ABS(N(H$5:H$29)-N(IFERROR(VLOOKUP(C28,'Valeurs Règlement Campagne'!$A$4:$T$7,19,FALSE),0)))&lt;=2)+
(ABS(N(H$5:H$29)-N(IFERROR(VLOOKUP(C28,'Valeurs Règlement Campagne'!$A$4:$T$7,20,FALSE),0)))&lt;=2)
)
)&gt;0),
"Doublon",
IF($C28=0," ",
IF(N(H28)=0," ",
IF(E28="Inconnues",
AND(N(H28)&gt;=N(O28),N(H28)&lt;=N(P28)),
IF(AND('Valeurs Règlement Campagne'!$L$14="OUI",E28="Connues"),
AND(N(H28)&gt;=N(O28)-2,N(H28)&lt;=N(P28)+2),
OR(N(H28)=N(O28),N(H28)=N(O28)+5,N(H28)=N(P28))
)
)
)
)
)))</f>
        <v xml:space="preserve"> </v>
      </c>
      <c r="U28" s="192" t="str">
        <f>IF($C28=" "," ",IF(I28=" "," ",IF('Valeurs Règlement Campagne'!$L$14="OUI",AND(I28&gt;=O28-2,I28&lt;=Q28+2),OR(I28=O28,I28=O28+5,I28=Q28))))</f>
        <v xml:space="preserve"> </v>
      </c>
      <c r="V28" s="220" t="str">
        <f t="shared" si="1"/>
        <v xml:space="preserve"> </v>
      </c>
      <c r="W28" s="218"/>
      <c r="X28" s="218" t="str">
        <f t="shared" si="2"/>
        <v xml:space="preserve"> </v>
      </c>
      <c r="Y28" s="218"/>
      <c r="Z28" s="218" t="str">
        <f t="shared" si="3"/>
        <v xml:space="preserve"> </v>
      </c>
      <c r="AA28" s="252"/>
      <c r="AB28" s="110" t="str">
        <f t="shared" si="7"/>
        <v/>
      </c>
      <c r="AC28" s="100" t="str">
        <f>IF(
  E28="Connues",
  IF(
    ABS(F28 - VLOOKUP(C28,'Valeurs Règlement Campagne'!$A$4:$T$7,12,FALSE))&lt;=2,
    VLOOKUP(C28,'Valeurs Règlement Campagne'!$A$4:$T$7,12,FALSE),
    IF(
      ABS(F28 - VLOOKUP(C28,'Valeurs Règlement Campagne'!$A$4:$T$7,13,FALSE))&lt;=2,
      VLOOKUP(C28,'Valeurs Règlement Campagne'!$A$4:$T$7,13,FALSE),
      IF(
        ABS(F28 - VLOOKUP(C28,'Valeurs Règlement Campagne'!$A$4:$T$7,14,FALSE))&lt;=2,
        VLOOKUP(C28,'Valeurs Règlement Campagne'!$A$4:$T$7,14,FALSE),
        ""
      )
    )
  ),
  ""
)</f>
        <v/>
      </c>
      <c r="AD28" s="100" t="str">
        <f>IF(
  E28="Connues",
  IF(
    ABS(G28 - VLOOKUP(C28,'Valeurs Règlement Campagne'!$A$4:$T$7,15,FALSE))&lt;=2,
    VLOOKUP(C28,'Valeurs Règlement Campagne'!$A$4:$T$7,15,FALSE),
    IF(
      ABS(G28 - VLOOKUP(C28,'Valeurs Règlement Campagne'!$A$4:$T$7,16,FALSE))&lt;=2,
      VLOOKUP(C28,'Valeurs Règlement Campagne'!$A$4:$T$7,16,FALSE),
      IF(
        ABS(G28 - VLOOKUP(C28,'Valeurs Règlement Campagne'!$A$4:$T$7,17,FALSE))&lt;=2,
        VLOOKUP(C28,'Valeurs Règlement Campagne'!$A$4:$T$7,17,FALSE),
        ""
      )
    )
  ),
  ""
)</f>
        <v/>
      </c>
      <c r="AE28" s="100" t="str">
        <f>IF(
  E28="Connues",
  IF(
    ABS(H28 - VLOOKUP(C28,'Valeurs Règlement Campagne'!$A$4:$T$7,15,FALSE))&lt;=2,
    VLOOKUP(C28,'Valeurs Règlement Campagne'!$A$4:$T$7,15,FALSE),
    IF(
      ABS(H28 - VLOOKUP(C28,'Valeurs Règlement Campagne'!$A$4:$T$7,16,FALSE))&lt;=2,
      VLOOKUP(C28,'Valeurs Règlement Campagne'!$A$4:$T$7,16,FALSE),
      IF(
        ABS(H28 - VLOOKUP(C28,'Valeurs Règlement Campagne'!$A$4:$T$7,17,FALSE))&lt;=2,
        VLOOKUP(C28,'Valeurs Règlement Campagne'!$A$4:$T$7,17,FALSE),
        ""
      )
    )
  ),
  ""
)</f>
        <v/>
      </c>
    </row>
    <row r="29" spans="1:212" ht="20.75" customHeight="1" thickBot="1">
      <c r="A29" s="214">
        <v>24</v>
      </c>
      <c r="B29" s="217" t="str">
        <f>IF(NOT(ISBLANK(Organisateur!B29)),Organisateur!B29," ")</f>
        <v xml:space="preserve"> </v>
      </c>
      <c r="C29" s="255" t="str">
        <f>IF(NOT(ISBLANK(Organisateur!C29)),Organisateur!C29," ")</f>
        <v xml:space="preserve"> </v>
      </c>
      <c r="D29" s="255"/>
      <c r="E29" s="211" t="str">
        <f>IF(NOT(ISBLANK(Organisateur!E29)),Organisateur!E29," ")</f>
        <v xml:space="preserve"> </v>
      </c>
      <c r="F29" s="184" t="str">
        <f>IF(NOT(ISBLANK(Organisateur!F29)),Organisateur!F29," ")</f>
        <v xml:space="preserve"> </v>
      </c>
      <c r="G29" s="184" t="str">
        <f>IF(NOT(ISBLANK(Organisateur!G29)),Organisateur!G29," ")</f>
        <v xml:space="preserve"> </v>
      </c>
      <c r="H29" s="184" t="str">
        <f>IF(NOT(ISBLANK(Organisateur!H29)),Organisateur!H29," ")</f>
        <v xml:space="preserve"> </v>
      </c>
      <c r="I29" s="184" t="str">
        <f>IF(NOT(ISBLANK(Organisateur!I29)),Organisateur!I29," ")</f>
        <v xml:space="preserve"> </v>
      </c>
      <c r="J29" s="101"/>
      <c r="K29" s="92" t="str">
        <f>IF($E29=" "," ",IF($E29=$D$31,VLOOKUP($C29,'Valeurs Règlement Campagne'!$A$4:$T$7,12,FALSE),VLOOKUP($C29,'Valeurs Règlement Campagne'!$A$4:$I$7,4,FALSE)))</f>
        <v xml:space="preserve"> </v>
      </c>
      <c r="L29" s="93" t="str">
        <f>IF($E29=" "," ",IF($E29=$D$31,VLOOKUP($C29,'Valeurs Règlement Campagne'!$A$4:$T$7,14,FALSE),VLOOKUP($C29,'Valeurs Règlement Campagne'!$A$4:$L$7,5,FALSE)))</f>
        <v xml:space="preserve"> </v>
      </c>
      <c r="M29" s="92" t="str">
        <f>IF($E29=" "," ",IF($E29=$D$31,VLOOKUP($C29,'Valeurs Règlement Campagne'!$A$4:$T$7,15,FALSE),VLOOKUP($C29,'Valeurs Règlement Campagne'!$A$4:$M$7,6,FALSE)))</f>
        <v xml:space="preserve"> </v>
      </c>
      <c r="N29" s="93" t="str">
        <f>IF($E29=" "," ",IF($E29=$D$31,VLOOKUP($C29,'Valeurs Règlement Campagne'!$A$4:$T$7,17,FALSE),VLOOKUP($C29,'Valeurs Règlement Campagne'!$A$4:$N$7,7,FALSE)))</f>
        <v xml:space="preserve"> </v>
      </c>
      <c r="O29" s="188" t="str">
        <f>IF($E29=" "," ",IF($E29=$D$31,VLOOKUP($C29,'Valeurs Règlement Campagne'!$A$4:$T$7,18,FALSE),VLOOKUP($C29,'Valeurs Règlement Campagne'!$A$4:$O$7,8,FALSE)))</f>
        <v xml:space="preserve"> </v>
      </c>
      <c r="P29" s="189" t="str">
        <f>IF($E29=" "," ",IF($E29=$D$31,VLOOKUP($C29,'Valeurs Règlement Campagne'!$A$4:$T$7,20,FALSE),VLOOKUP($C29,'Valeurs Règlement Campagne'!$A$4:$P$7,9,FALSE)))</f>
        <v xml:space="preserve"> </v>
      </c>
      <c r="Q29" s="191" t="str">
        <f t="shared" si="6"/>
        <v xml:space="preserve"> </v>
      </c>
      <c r="R29" s="116" t="str" cm="1">
        <f t="array" ref="R29">IF(C29=" "," ",
IF(AND(E29="Connues",AC29&lt;&gt;"",
COUNTIFS(AC$5:AC$29,AC29,C$5:C$29,C29)&gt;1),
"Doublon",
IF(AND(E29="Connues",
SUMPRODUCT(
(E$5:E$29="Connues")*
(C$5:C$29=C29)*
(ROW($5:$29)&lt;&gt;ROW())*
(ABS(N(F$5:F$29)-N(F29))&lt;=2)*
(
(ABS(N(F$5:F$29)-N(IFERROR(VLOOKUP(C29,'Valeurs Règlement Campagne'!$A$4:$T$7,12,FALSE),0)))&lt;=2)+
(ABS(N(F$5:F$29)-N(IFERROR(VLOOKUP(C29,'Valeurs Règlement Campagne'!$A$4:$T$7,13,FALSE),0)))&lt;=2)+
(ABS(N(F$5:F$29)-N(IFERROR(VLOOKUP(C29,'Valeurs Règlement Campagne'!$A$4:$T$7,14,FALSE),0)))&lt;=2)
)
)&gt;0),
"Doublon",
IF($C29=0," ",
IF(N(F29)=0," ",
IF(E29="Inconnues",
AND(N(F29)&gt;=N(K29),N(F29)&lt;=N(L29)),
IF(AND('Valeurs Règlement Campagne'!$L$14="OUI",E29="Connues"),
AND(N(F29)&gt;=N(K29)-2,N(F29)&lt;=N(L29)+2),
OR(N(F29)=N(K29),N(F29)=N(K29)+5,N(F29)=N(L29))
)
)
)
)
)))</f>
        <v xml:space="preserve"> </v>
      </c>
      <c r="S29" s="117" t="str" cm="1">
        <f t="array" ref="S29">IF(C29=" "," ",
IF(AND(E29="Connues",AD29&lt;&gt;"",
COUNTIFS(AD$5:AD$29,AD29,C$5:C$29,C29)&gt;1),
"Doublon",
IF(AND(E29="Connues",
SUMPRODUCT(
(E$5:E$29="Connues")*
(C$5:C$29=C29)*
(ROW($5:$29)&lt;&gt;ROW())*
(ABS(N(G$5:G$29)-N(G29))&lt;=2)*
(
(ABS(N(G$5:G$29)-N(IFERROR(VLOOKUP(C29,'Valeurs Règlement Campagne'!$A$4:$T$7,15,FALSE),0)))&lt;=2)+
(ABS(N(G$5:G$29)-N(IFERROR(VLOOKUP(C29,'Valeurs Règlement Campagne'!$A$4:$T$7,16,FALSE),0)))&lt;=2)+
(ABS(N(G$5:G$29)-N(IFERROR(VLOOKUP(C29,'Valeurs Règlement Campagne'!$A$4:$T$7,17,FALSE),0)))&lt;=2)
)
)&gt;0),
"Doublon",
IF($C29=0," ",
IF(N(G29)=0," ",
IF(E29="Inconnues",
AND(N(G29)&gt;=N(M29),N(G29)&lt;=N(N29)),
IF(AND('Valeurs Règlement Campagne'!$L$14="OUI",E29="Connues"),
AND(N(G29)&gt;=N(M29)-2,N(G29)&lt;=N(N29)+2),
OR(N(G29)=N(M29),N(G29)=N(M29)+5,N(G29)=N(N29))
)
)
)
)
)))</f>
        <v xml:space="preserve"> </v>
      </c>
      <c r="T29" s="117" t="str" cm="1">
        <f t="array" ref="T29">IF(C29=" "," ",
IF(AND(E29="Connues",AE29&lt;&gt;"",
COUNTIFS(AE$5:AE$29,AE29,C$5:C$29,C29)&gt;1),
"Doublon",
IF(AND(E29="Connues",
SUMPRODUCT(
(E$5:E$29="Connues")*
(C$5:C$29=C29)*
(ROW($5:$29)&lt;&gt;ROW())*
(ABS(N(H$5:H$29)-N(H29))&lt;=2)*
(
(ABS(N(H$5:H$29)-N(IFERROR(VLOOKUP(C29,'Valeurs Règlement Campagne'!$A$4:$T$7,18,FALSE),0)))&lt;=2)+
(ABS(N(H$5:H$29)-N(IFERROR(VLOOKUP(C29,'Valeurs Règlement Campagne'!$A$4:$T$7,19,FALSE),0)))&lt;=2)+
(ABS(N(H$5:H$29)-N(IFERROR(VLOOKUP(C29,'Valeurs Règlement Campagne'!$A$4:$T$7,20,FALSE),0)))&lt;=2)
)
)&gt;0),
"Doublon",
IF($C29=0," ",
IF(N(H29)=0," ",
IF(E29="Inconnues",
AND(N(H29)&gt;=N(O29),N(H29)&lt;=N(P29)),
IF(AND('Valeurs Règlement Campagne'!$L$14="OUI",E29="Connues"),
AND(N(H29)&gt;=N(O29)-2,N(H29)&lt;=N(P29)+2),
OR(N(H29)=N(O29),N(H29)=N(O29)+5,N(H29)=N(P29))
)
)
)
)
)))</f>
        <v xml:space="preserve"> </v>
      </c>
      <c r="U29" s="193" t="str">
        <f>IF($C29=" "," ",IF(I29=" "," ",IF('Valeurs Règlement Campagne'!$L$14="OUI",AND(I29&gt;=O29-2,I29&lt;=Q29+2),OR(I29=O29,I29=O29+5,I29=Q29))))</f>
        <v xml:space="preserve"> </v>
      </c>
      <c r="V29" s="257" t="str">
        <f t="shared" si="1"/>
        <v xml:space="preserve"> </v>
      </c>
      <c r="W29" s="219"/>
      <c r="X29" s="219" t="str">
        <f t="shared" si="2"/>
        <v xml:space="preserve"> </v>
      </c>
      <c r="Y29" s="219"/>
      <c r="Z29" s="219" t="str">
        <f t="shared" si="3"/>
        <v xml:space="preserve"> </v>
      </c>
      <c r="AA29" s="269"/>
      <c r="AB29" s="118" t="str">
        <f t="shared" si="7"/>
        <v/>
      </c>
      <c r="AC29" s="100" t="str">
        <f>IF(
  E29="Connues",
  IF(
    ABS(F29 - VLOOKUP(C29,'Valeurs Règlement Campagne'!$A$4:$T$7,12,FALSE))&lt;=2,
    VLOOKUP(C29,'Valeurs Règlement Campagne'!$A$4:$T$7,12,FALSE),
    IF(
      ABS(F29 - VLOOKUP(C29,'Valeurs Règlement Campagne'!$A$4:$T$7,13,FALSE))&lt;=2,
      VLOOKUP(C29,'Valeurs Règlement Campagne'!$A$4:$T$7,13,FALSE),
      IF(
        ABS(F29 - VLOOKUP(C29,'Valeurs Règlement Campagne'!$A$4:$T$7,14,FALSE))&lt;=2,
        VLOOKUP(C29,'Valeurs Règlement Campagne'!$A$4:$T$7,14,FALSE),
        ""
      )
    )
  ),
  ""
)</f>
        <v/>
      </c>
      <c r="AD29" s="100" t="str">
        <f>IF(
  E29="Connues",
  IF(
    ABS(G29 - VLOOKUP(C29,'Valeurs Règlement Campagne'!$A$4:$T$7,15,FALSE))&lt;=2,
    VLOOKUP(C29,'Valeurs Règlement Campagne'!$A$4:$T$7,15,FALSE),
    IF(
      ABS(G29 - VLOOKUP(C29,'Valeurs Règlement Campagne'!$A$4:$T$7,16,FALSE))&lt;=2,
      VLOOKUP(C29,'Valeurs Règlement Campagne'!$A$4:$T$7,16,FALSE),
      IF(
        ABS(G29 - VLOOKUP(C29,'Valeurs Règlement Campagne'!$A$4:$T$7,17,FALSE))&lt;=2,
        VLOOKUP(C29,'Valeurs Règlement Campagne'!$A$4:$T$7,17,FALSE),
        ""
      )
    )
  ),
  ""
)</f>
        <v/>
      </c>
      <c r="AE29" s="100" t="str">
        <f>IF(
  E29="Connues",
  IF(
    ABS(H29 - VLOOKUP(C29,'Valeurs Règlement Campagne'!$A$4:$T$7,15,FALSE))&lt;=2,
    VLOOKUP(C29,'Valeurs Règlement Campagne'!$A$4:$T$7,15,FALSE),
    IF(
      ABS(H29 - VLOOKUP(C29,'Valeurs Règlement Campagne'!$A$4:$T$7,16,FALSE))&lt;=2,
      VLOOKUP(C29,'Valeurs Règlement Campagne'!$A$4:$T$7,16,FALSE),
      IF(
        ABS(H29 - VLOOKUP(C29,'Valeurs Règlement Campagne'!$A$4:$T$7,17,FALSE))&lt;=2,
        VLOOKUP(C29,'Valeurs Règlement Campagne'!$A$4:$T$7,17,FALSE),
        ""
      )
    )
  ),
  ""
)</f>
        <v/>
      </c>
    </row>
    <row r="30" spans="1:212" ht="19.75" customHeight="1" thickBot="1">
      <c r="A30" s="119"/>
      <c r="B30" s="120"/>
      <c r="C30" s="119"/>
      <c r="F30" s="122"/>
      <c r="G30" s="122"/>
      <c r="H30" s="122"/>
      <c r="I30" s="122"/>
      <c r="J30" s="123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</row>
    <row r="31" spans="1:212" ht="27" customHeight="1" thickBot="1">
      <c r="A31" s="119"/>
      <c r="B31" s="124" t="s">
        <v>15</v>
      </c>
      <c r="C31" s="125" t="str">
        <f>'Valeurs Règlement Campagne'!D8</f>
        <v>Inconnues</v>
      </c>
      <c r="D31" s="126" t="str">
        <f>'Valeurs Règlement Campagne'!L8</f>
        <v>Connues</v>
      </c>
      <c r="E31" s="127" t="s">
        <v>9</v>
      </c>
      <c r="F31" s="67" t="s">
        <v>16</v>
      </c>
      <c r="G31" s="83" t="s">
        <v>16</v>
      </c>
      <c r="H31" s="128" t="s">
        <v>16</v>
      </c>
      <c r="I31" s="122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</row>
    <row r="32" spans="1:212" ht="27.25" customHeight="1" thickBot="1">
      <c r="A32" s="129" t="str">
        <f>'Valeurs Règlement Campagne'!A4</f>
        <v>4 trispots 20 cm</v>
      </c>
      <c r="B32" s="130">
        <f>'Valeurs Règlement Campagne'!B4+'Valeurs Règlement Campagne'!C4</f>
        <v>6</v>
      </c>
      <c r="C32" s="131">
        <f>COUNTIFS($C6:$C29,A32,E6:E29,C31)</f>
        <v>0</v>
      </c>
      <c r="D32" s="132">
        <f>COUNTIFS($C6:$C29,A32,E6:E29,D31)</f>
        <v>0</v>
      </c>
      <c r="E32" s="133" t="str">
        <f>IF(C32=D32,IF(C32+D32=B32,"ok","manque"),"manque")</f>
        <v>manque</v>
      </c>
      <c r="F32" s="134" t="str">
        <f>IFERROR(AVERAGEIF(C6:C29,A32,F6:F29)," ")</f>
        <v xml:space="preserve"> </v>
      </c>
      <c r="G32" s="135" t="str">
        <f>IFERROR(AVERAGEIF(C6:C29,A32,G6:G29)," ")</f>
        <v xml:space="preserve"> </v>
      </c>
      <c r="H32" s="136" t="str">
        <f>IFERROR(AVERAGEIF(C6:C29,A32,H6:H29)," ")</f>
        <v xml:space="preserve"> </v>
      </c>
      <c r="I32" s="122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258" t="s">
        <v>54</v>
      </c>
      <c r="V32" s="259"/>
      <c r="W32" s="259"/>
      <c r="X32" s="259"/>
      <c r="Y32" s="259"/>
      <c r="Z32" s="259"/>
      <c r="AA32" s="259"/>
      <c r="AB32" s="260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</row>
    <row r="33" spans="1:212" ht="20.75" customHeight="1" thickBot="1">
      <c r="A33" s="137" t="str">
        <f>'Valeurs Règlement Campagne'!A5</f>
        <v>4 cibles de 40 cm</v>
      </c>
      <c r="B33" s="130">
        <f>'Valeurs Règlement Campagne'!B5+'Valeurs Règlement Campagne'!C5</f>
        <v>6</v>
      </c>
      <c r="C33" s="131">
        <f>COUNTIFS($C6:$C29,A33,E6:E29,C31)</f>
        <v>0</v>
      </c>
      <c r="D33" s="138">
        <f>COUNTIFS($C6:$C29,A33,E6:E29,D31)</f>
        <v>0</v>
      </c>
      <c r="E33" s="139" t="str">
        <f t="shared" ref="E33:E35" si="8">IF(C33=D33,IF(C33+D33=B33,"ok","manque"),"manque")</f>
        <v>manque</v>
      </c>
      <c r="F33" s="140" t="str">
        <f>IFERROR(AVERAGEIF($C6:$C29,A33,F6:F29)," ")</f>
        <v xml:space="preserve"> </v>
      </c>
      <c r="G33" s="141" t="str">
        <f>IFERROR(AVERAGEIF($C6:$C29,A33,G6:G29)," ")</f>
        <v xml:space="preserve"> </v>
      </c>
      <c r="H33" s="142" t="str">
        <f>IFERROR(AVERAGEIF($C6:$C29,A33,H6:H29)," ")</f>
        <v xml:space="preserve"> </v>
      </c>
      <c r="I33" s="122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261"/>
      <c r="V33" s="262"/>
      <c r="W33" s="262"/>
      <c r="X33" s="262"/>
      <c r="Y33" s="262"/>
      <c r="Z33" s="262"/>
      <c r="AA33" s="262"/>
      <c r="AB33" s="263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</row>
    <row r="34" spans="1:212" ht="20.75" customHeight="1" thickBot="1">
      <c r="A34" s="129" t="str">
        <f>'Valeurs Règlement Campagne'!A6</f>
        <v>1 cible de 60 cm</v>
      </c>
      <c r="B34" s="130">
        <f>'Valeurs Règlement Campagne'!B6+'Valeurs Règlement Campagne'!C6</f>
        <v>6</v>
      </c>
      <c r="C34" s="131">
        <f>COUNTIFS($C6:$C29,A34,E6:E29,C31)</f>
        <v>0</v>
      </c>
      <c r="D34" s="132">
        <f>COUNTIFS($C6:$C29,A34,E6:E29,D31)</f>
        <v>0</v>
      </c>
      <c r="E34" s="139" t="str">
        <f t="shared" si="8"/>
        <v>manque</v>
      </c>
      <c r="F34" s="134" t="str">
        <f>IFERROR(AVERAGEIF($C6:$C29,A34,F6:F29)," ")</f>
        <v xml:space="preserve"> </v>
      </c>
      <c r="G34" s="135" t="str">
        <f>IFERROR(AVERAGEIF($C6:$C29,A34,G6:G29)," ")</f>
        <v xml:space="preserve"> </v>
      </c>
      <c r="H34" s="136" t="str">
        <f>IFERROR(AVERAGEIF($C6:$C29,A34,H6:H29)," ")</f>
        <v xml:space="preserve"> </v>
      </c>
      <c r="I34" s="122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264"/>
      <c r="V34" s="265"/>
      <c r="W34" s="265"/>
      <c r="X34" s="265"/>
      <c r="Y34" s="265"/>
      <c r="Z34" s="265"/>
      <c r="AA34" s="265"/>
      <c r="AB34" s="266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</row>
    <row r="35" spans="1:212" ht="20.75" customHeight="1" thickBot="1">
      <c r="A35" s="143" t="str">
        <f>'Valeurs Règlement Campagne'!A7</f>
        <v>1 cible de 80 cm</v>
      </c>
      <c r="B35" s="130">
        <f>'Valeurs Règlement Campagne'!B7+'Valeurs Règlement Campagne'!C7</f>
        <v>6</v>
      </c>
      <c r="C35" s="131">
        <f>COUNTIFS($C6:$C29,A35,E6:E29,C31)</f>
        <v>0</v>
      </c>
      <c r="D35" s="144">
        <f>COUNTIFS($C6:$C29,A35,E6:E29,D31)</f>
        <v>0</v>
      </c>
      <c r="E35" s="145" t="str">
        <f t="shared" si="8"/>
        <v>manque</v>
      </c>
      <c r="F35" s="146" t="str">
        <f>IFERROR(AVERAGEIF($C6:$C29,A35,F6:F29)," ")</f>
        <v xml:space="preserve"> </v>
      </c>
      <c r="G35" s="147" t="str">
        <f>IFERROR(AVERAGEIF($C6:$C29,A35,G6:G29)," ")</f>
        <v xml:space="preserve"> </v>
      </c>
      <c r="H35" s="148" t="str">
        <f>IFERROR(AVERAGEIF($C6:$C29,A35,H6:H29)," ")</f>
        <v xml:space="preserve"> </v>
      </c>
      <c r="I35" s="122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</row>
    <row r="36" spans="1:212" ht="20.75" customHeight="1" thickBot="1">
      <c r="A36" s="149"/>
      <c r="B36" s="150">
        <f>SUM(B32:B35)</f>
        <v>24</v>
      </c>
      <c r="C36" s="150">
        <f>SUM(C32:C35)</f>
        <v>0</v>
      </c>
      <c r="D36" s="150">
        <f>SUM(D32:D35)</f>
        <v>0</v>
      </c>
      <c r="F36" s="67" t="s">
        <v>8</v>
      </c>
      <c r="G36" s="83" t="s">
        <v>8</v>
      </c>
      <c r="H36" s="128" t="s">
        <v>8</v>
      </c>
      <c r="I36" s="122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</row>
    <row r="37" spans="1:212" ht="20" customHeight="1" thickBot="1">
      <c r="C37" s="121"/>
      <c r="E37" s="127" t="s">
        <v>40</v>
      </c>
      <c r="F37" s="134">
        <f>SUM(F6:F29)</f>
        <v>0</v>
      </c>
      <c r="G37" s="135">
        <f>SUM(G6:G29)</f>
        <v>0</v>
      </c>
      <c r="H37" s="136">
        <f>SUM(H6:H29)</f>
        <v>0</v>
      </c>
      <c r="I37" s="122"/>
    </row>
    <row r="38" spans="1:212" ht="20" customHeight="1" thickBot="1">
      <c r="A38" s="151" t="s">
        <v>50</v>
      </c>
      <c r="B38" s="313" t="str">
        <f>IF('Valeurs Règlement Campagne'!$L$14="OUI","Active","Inactive")</f>
        <v>Active</v>
      </c>
      <c r="C38" s="314"/>
      <c r="E38" s="152" t="s">
        <v>23</v>
      </c>
      <c r="F38" s="134">
        <f>SUMIF(E6:E29, "Inconnues", F6:F29)</f>
        <v>0</v>
      </c>
      <c r="G38" s="135">
        <f>SUMIF(E6:E29, "Inconnues", G6:G29)</f>
        <v>0</v>
      </c>
      <c r="H38" s="136">
        <f>SUMIF(E6:E29, "Inconnues", H6:H29)</f>
        <v>0</v>
      </c>
      <c r="I38" s="122"/>
    </row>
    <row r="39" spans="1:212" ht="24" customHeight="1" thickBot="1">
      <c r="B39" s="315" t="s">
        <v>41</v>
      </c>
      <c r="C39" s="316"/>
      <c r="D39" s="312">
        <f>'Valeurs Règlement Campagne'!D10</f>
        <v>300</v>
      </c>
      <c r="E39" s="154">
        <f>'Valeurs Règlement Campagne'!E10</f>
        <v>330</v>
      </c>
      <c r="F39" s="139" t="str">
        <f>IF(AND(F38&gt;=D39,F38&lt;=E39),"ok","hors fourchette")</f>
        <v>hors fourchette</v>
      </c>
      <c r="I39" s="122"/>
    </row>
    <row r="40" spans="1:212" ht="23" customHeight="1" thickBot="1">
      <c r="B40" s="319" t="s">
        <v>42</v>
      </c>
      <c r="C40" s="320"/>
      <c r="D40" s="312">
        <f>'Valeurs Règlement Campagne'!D11</f>
        <v>220</v>
      </c>
      <c r="E40" s="154">
        <f>'Valeurs Règlement Campagne'!E11</f>
        <v>244</v>
      </c>
      <c r="G40" s="139" t="str">
        <f>IF(AND(G38&gt;=D40,G38&lt;=E40),"ok","hors fourchette")</f>
        <v>hors fourchette</v>
      </c>
      <c r="I40" s="122"/>
    </row>
    <row r="41" spans="1:212" ht="24" customHeight="1" thickBot="1">
      <c r="B41" s="317" t="s">
        <v>49</v>
      </c>
      <c r="C41" s="318"/>
      <c r="D41" s="312">
        <f>'Valeurs Règlement Campagne'!D12</f>
        <v>192</v>
      </c>
      <c r="E41" s="154">
        <f>'Valeurs Règlement Campagne'!E12</f>
        <v>212</v>
      </c>
      <c r="H41" s="139" t="str">
        <f>IF(AND(H38&gt;=D41,H38&lt;=E41),"ok","hors fourchette")</f>
        <v>hors fourchette</v>
      </c>
      <c r="I41" s="122"/>
    </row>
    <row r="42" spans="1:212" ht="20" customHeight="1">
      <c r="I42" s="122"/>
    </row>
    <row r="43" spans="1:212" ht="20" customHeight="1">
      <c r="I43" s="122"/>
    </row>
  </sheetData>
  <sheetProtection sheet="1" selectLockedCells="1"/>
  <mergeCells count="114">
    <mergeCell ref="U32:AB34"/>
    <mergeCell ref="AB2:AB3"/>
    <mergeCell ref="Z28:AA28"/>
    <mergeCell ref="Z29:AA29"/>
    <mergeCell ref="Z20:AA20"/>
    <mergeCell ref="Z21:AA21"/>
    <mergeCell ref="Z22:AA22"/>
    <mergeCell ref="Z23:AA23"/>
    <mergeCell ref="Z24:AA24"/>
    <mergeCell ref="Z19:AA19"/>
    <mergeCell ref="Z10:AA10"/>
    <mergeCell ref="Z11:AA11"/>
    <mergeCell ref="Z12:AA12"/>
    <mergeCell ref="Z13:AA13"/>
    <mergeCell ref="Z14:AA14"/>
    <mergeCell ref="Z25:AA25"/>
    <mergeCell ref="Z26:AA26"/>
    <mergeCell ref="Z27:AA27"/>
    <mergeCell ref="Z9:AA9"/>
    <mergeCell ref="Z15:AA15"/>
    <mergeCell ref="Z16:AA16"/>
    <mergeCell ref="Z17:AA17"/>
    <mergeCell ref="Z18:AA18"/>
    <mergeCell ref="V17:W17"/>
    <mergeCell ref="B41:C41"/>
    <mergeCell ref="C28:D28"/>
    <mergeCell ref="V28:W28"/>
    <mergeCell ref="C29:D29"/>
    <mergeCell ref="C10:D10"/>
    <mergeCell ref="C11:D11"/>
    <mergeCell ref="C13:D13"/>
    <mergeCell ref="B39:C39"/>
    <mergeCell ref="B40:C40"/>
    <mergeCell ref="C14:D14"/>
    <mergeCell ref="C15:D15"/>
    <mergeCell ref="C22:D22"/>
    <mergeCell ref="C23:D23"/>
    <mergeCell ref="C24:D24"/>
    <mergeCell ref="C25:D25"/>
    <mergeCell ref="C16:D16"/>
    <mergeCell ref="V25:W25"/>
    <mergeCell ref="V29:W29"/>
    <mergeCell ref="V11:W11"/>
    <mergeCell ref="V12:W12"/>
    <mergeCell ref="V13:W13"/>
    <mergeCell ref="V14:W14"/>
    <mergeCell ref="V15:W15"/>
    <mergeCell ref="V16:W16"/>
    <mergeCell ref="C6:D6"/>
    <mergeCell ref="C7:D7"/>
    <mergeCell ref="C8:D8"/>
    <mergeCell ref="C12:D12"/>
    <mergeCell ref="C9:D9"/>
    <mergeCell ref="C26:D26"/>
    <mergeCell ref="V26:W26"/>
    <mergeCell ref="X26:Y26"/>
    <mergeCell ref="C27:D27"/>
    <mergeCell ref="V27:W27"/>
    <mergeCell ref="X27:Y27"/>
    <mergeCell ref="V10:W10"/>
    <mergeCell ref="X10:Y10"/>
    <mergeCell ref="C21:D21"/>
    <mergeCell ref="V19:W19"/>
    <mergeCell ref="V20:W20"/>
    <mergeCell ref="V21:W21"/>
    <mergeCell ref="C17:D17"/>
    <mergeCell ref="C18:D18"/>
    <mergeCell ref="C19:D19"/>
    <mergeCell ref="C20:D20"/>
    <mergeCell ref="V22:W22"/>
    <mergeCell ref="V23:W23"/>
    <mergeCell ref="V24:W24"/>
    <mergeCell ref="A1:X1"/>
    <mergeCell ref="V6:W6"/>
    <mergeCell ref="V7:W7"/>
    <mergeCell ref="V8:W8"/>
    <mergeCell ref="V9:W9"/>
    <mergeCell ref="X7:Y7"/>
    <mergeCell ref="X8:Y8"/>
    <mergeCell ref="X9:Y9"/>
    <mergeCell ref="A2:A4"/>
    <mergeCell ref="B2:B4"/>
    <mergeCell ref="C5:D5"/>
    <mergeCell ref="C2:D4"/>
    <mergeCell ref="E2:E4"/>
    <mergeCell ref="X6:Y6"/>
    <mergeCell ref="V5:W5"/>
    <mergeCell ref="X5:Y5"/>
    <mergeCell ref="F2:I3"/>
    <mergeCell ref="V2:AA3"/>
    <mergeCell ref="R2:U3"/>
    <mergeCell ref="K2:Q2"/>
    <mergeCell ref="Z5:AA5"/>
    <mergeCell ref="Z6:AA6"/>
    <mergeCell ref="Z7:AA7"/>
    <mergeCell ref="Z8:AA8"/>
    <mergeCell ref="V18:W18"/>
    <mergeCell ref="X11:Y11"/>
    <mergeCell ref="X12:Y12"/>
    <mergeCell ref="X13:Y13"/>
    <mergeCell ref="X14:Y14"/>
    <mergeCell ref="X15:Y15"/>
    <mergeCell ref="X16:Y16"/>
    <mergeCell ref="X17:Y17"/>
    <mergeCell ref="X23:Y23"/>
    <mergeCell ref="X24:Y24"/>
    <mergeCell ref="X25:Y25"/>
    <mergeCell ref="X29:Y29"/>
    <mergeCell ref="X18:Y18"/>
    <mergeCell ref="X19:Y19"/>
    <mergeCell ref="X20:Y20"/>
    <mergeCell ref="X21:Y21"/>
    <mergeCell ref="X22:Y22"/>
    <mergeCell ref="X28:Y28"/>
  </mergeCells>
  <conditionalFormatting sqref="B38">
    <cfRule type="expression" dxfId="30" priority="25">
      <formula>$B$38="Inactive"</formula>
    </cfRule>
    <cfRule type="expression" dxfId="29" priority="26">
      <formula>$B$38="active"</formula>
    </cfRule>
  </conditionalFormatting>
  <conditionalFormatting sqref="I5">
    <cfRule type="expression" dxfId="12" priority="23">
      <formula>LEFT(C5,1)="4"</formula>
    </cfRule>
  </conditionalFormatting>
  <conditionalFormatting sqref="R5:U29">
    <cfRule type="containsText" dxfId="11" priority="24" operator="containsText" text="VRAI">
      <formula>NOT(ISERROR(SEARCH("VRAI",R5)))</formula>
    </cfRule>
    <cfRule type="containsText" dxfId="10" priority="22" operator="containsText" text="FAUX">
      <formula>NOT(ISERROR(SEARCH("FAUX",R5)))</formula>
    </cfRule>
    <cfRule type="containsText" dxfId="9" priority="21" stopIfTrue="1" operator="containsText" text="Doublon">
      <formula>NOT(ISERROR(SEARCH("Doublon",R5)))</formula>
    </cfRule>
  </conditionalFormatting>
  <conditionalFormatting sqref="V5:V29 X5:X29">
    <cfRule type="containsText" dxfId="8" priority="61" operator="containsText" text="ok">
      <formula>NOT(ISERROR(SEARCH("ok",V5)))</formula>
    </cfRule>
  </conditionalFormatting>
  <conditionalFormatting sqref="Z5:Z29">
    <cfRule type="containsText" dxfId="5" priority="19" operator="containsText" text="ok">
      <formula>NOT(ISERROR(SEARCH("ok",Z5)))</formula>
    </cfRule>
  </conditionalFormatting>
  <conditionalFormatting sqref="AB5:AB29">
    <cfRule type="expression" dxfId="4" priority="29">
      <formula>$AB5="Manque Orange"</formula>
    </cfRule>
    <cfRule type="expression" dxfId="3" priority="28">
      <formula>$AB5="possible"</formula>
    </cfRule>
    <cfRule type="expression" dxfId="2" priority="27">
      <formula>$AB5="Obligatoire"</formula>
    </cfRule>
  </conditionalFormatting>
  <pageMargins left="1" right="1" top="1" bottom="1" header="0.25" footer="0.25"/>
  <pageSetup scale="52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96174CC-BA36-4D44-A5B2-3432F4118ECE}">
            <xm:f>OR(B6=" ",Organisateur!B6="")</xm:f>
            <x14:dxf>
              <font>
                <strike val="0"/>
                <color auto="1"/>
              </font>
              <fill>
                <patternFill>
                  <bgColor theme="0" tint="-0.499984740745262"/>
                </patternFill>
              </fill>
            </x14:dxf>
          </x14:cfRule>
          <x14:cfRule type="expression" priority="18" id="{C1B77171-AD51-1E41-83EA-D338CCB3793D}">
            <xm:f>AND(B6&lt;&gt;" ",B6&lt;&gt;Organisateur!B6)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B6:E29</xm:sqref>
        </x14:conditionalFormatting>
        <x14:conditionalFormatting xmlns:xm="http://schemas.microsoft.com/office/excel/2006/main">
          <x14:cfRule type="notContainsText" priority="66" operator="notContains" id="{1CD655C6-9CEA-0149-BAC8-3BD756F84D56}">
            <xm:f>ISERROR(SEARCH("ok",E32))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14:cfRule type="containsText" priority="60" stopIfTrue="1" operator="containsText" id="{646F6508-7965-3644-86BD-429290450A8C}">
            <xm:f>NOT(ISERROR(SEARCH("ok",E32)))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E32:E35</xm:sqref>
        </x14:conditionalFormatting>
        <x14:conditionalFormatting xmlns:xm="http://schemas.microsoft.com/office/excel/2006/main">
          <x14:cfRule type="expression" priority="13" id="{44FFE587-FF5F-E341-95C2-8C1C388864C5}">
            <xm:f>OR($F6=Organisateur!$F6,$F6=" ")</xm:f>
            <x14:dxf>
              <font>
                <b/>
                <i val="0"/>
                <strike val="0"/>
                <color theme="9" tint="-0.24994659260841701"/>
              </font>
              <fill>
                <patternFill>
                  <bgColor theme="0" tint="-0.499984740745262"/>
                </patternFill>
              </fill>
            </x14:dxf>
          </x14:cfRule>
          <x14:cfRule type="expression" priority="14" stopIfTrue="1" id="{AA0C6E21-2977-AF44-8919-EAE1DB4DCEF9}">
            <xm:f>AND(F6&lt;&gt;" ",F6&lt;&gt;Organisateur!E6)</xm:f>
            <x14:dxf>
              <font>
                <b/>
                <i val="0"/>
                <color rgb="FFC00000"/>
              </font>
              <fill>
                <patternFill>
                  <bgColor theme="6" tint="0.79998168889431442"/>
                </patternFill>
              </fill>
            </x14:dxf>
          </x14:cfRule>
          <xm:sqref>F6:F29</xm:sqref>
        </x14:conditionalFormatting>
        <x14:conditionalFormatting xmlns:xm="http://schemas.microsoft.com/office/excel/2006/main">
          <x14:cfRule type="notContainsText" priority="45" operator="notContains" id="{0CFF8B02-D610-FF48-92E6-07C274E8160C}">
            <xm:f>ISERROR(SEARCH("ok",F39))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14:cfRule type="containsText" priority="44" stopIfTrue="1" operator="containsText" id="{9422666F-6425-5641-BE89-C0380D308790}">
            <xm:f>NOT(ISERROR(SEARCH("ok",F39)))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expression" priority="5" id="{07D358D2-BEB9-A74D-844B-CCC3FF3111B8}">
            <xm:f>OR($G6=Organisateur!$G6,$G6=" ")</xm:f>
            <x14:dxf>
              <font>
                <b/>
                <i val="0"/>
                <strike val="0"/>
                <color theme="4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14:cfRule type="expression" priority="6" stopIfTrue="1" id="{344450E7-6D60-1A40-9796-2459D81F0448}">
            <xm:f>AND(G6&lt;&gt;" ",G6&lt;&gt;Organisateur!G6)</xm:f>
            <x14:dxf>
              <font>
                <b/>
                <i val="0"/>
                <color theme="4" tint="-0.24994659260841701"/>
              </font>
              <fill>
                <patternFill>
                  <bgColor theme="6" tint="0.79998168889431442"/>
                </patternFill>
              </fill>
            </x14:dxf>
          </x14:cfRule>
          <xm:sqref>G6:G29</xm:sqref>
        </x14:conditionalFormatting>
        <x14:conditionalFormatting xmlns:xm="http://schemas.microsoft.com/office/excel/2006/main">
          <x14:cfRule type="notContainsText" priority="43" operator="notContains" id="{3C8296A4-E59F-3B49-8920-C938B7404943}">
            <xm:f>ISERROR(SEARCH("ok",G40))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14:cfRule type="containsText" priority="42" stopIfTrue="1" operator="containsText" id="{01B758BA-B0D5-EB49-8D6E-6C16296B380E}">
            <xm:f>NOT(ISERROR(SEARCH("ok",G40)))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expression" priority="3" stopIfTrue="1" id="{29B101ED-7283-D844-B9DD-1965A3A135DE}">
            <xm:f>OR($H6=Organisateur!$H6,$H6=" ")</xm:f>
            <x14:dxf>
              <font>
                <b/>
                <i val="0"/>
                <strike val="0"/>
                <color theme="0"/>
              </font>
              <fill>
                <patternFill>
                  <bgColor theme="0" tint="-0.499984740745262"/>
                </patternFill>
              </fill>
            </x14:dxf>
          </x14:cfRule>
          <x14:cfRule type="expression" priority="4" id="{63048F2A-8D5F-5D42-9181-5A954961C008}">
            <xm:f>AND(H6&lt;&gt;" ",H6&lt;&gt;Organisateur!H6)</xm:f>
            <x14:dxf>
              <font>
                <b/>
                <i val="0"/>
                <color auto="1"/>
              </font>
              <fill>
                <patternFill>
                  <bgColor theme="6" tint="0.79998168889431442"/>
                </patternFill>
              </fill>
            </x14:dxf>
          </x14:cfRule>
          <xm:sqref>H6:H29</xm:sqref>
        </x14:conditionalFormatting>
        <x14:conditionalFormatting xmlns:xm="http://schemas.microsoft.com/office/excel/2006/main">
          <x14:cfRule type="containsText" priority="40" stopIfTrue="1" operator="containsText" id="{F2D03F2C-66E1-934F-83BA-E9D1750F8931}">
            <xm:f>NOT(ISERROR(SEARCH("ok",H41)))</xm:f>
            <xm:f>"ok"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notContainsText" priority="41" operator="notContains" id="{4B8ADA94-2CBA-564F-880F-B80B55CCF061}">
            <xm:f>ISERROR(SEARCH("ok",H41))</xm:f>
            <xm:f>"ok"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expression" priority="1" stopIfTrue="1" id="{4C90B5DB-88A9-E745-982B-AC30DB8CC24A}">
            <xm:f>OR($I6=Organisateur!$I6,$I6=" ")</xm:f>
            <x14:dxf>
              <font>
                <b/>
                <i val="0"/>
                <strike val="0"/>
                <color rgb="FFFF9300"/>
              </font>
              <fill>
                <patternFill>
                  <bgColor theme="0" tint="-0.499984740745262"/>
                </patternFill>
              </fill>
            </x14:dxf>
          </x14:cfRule>
          <x14:cfRule type="expression" priority="2" stopIfTrue="1" id="{E1F41834-378B-694E-A7FC-4D5CE1D25563}">
            <xm:f>AND(I6&lt;&gt;" ",I6&lt;&gt;Organisateur!I6)</xm:f>
            <x14:dxf>
              <font>
                <b/>
                <i val="0"/>
                <color rgb="FFFFC000"/>
              </font>
              <fill>
                <patternFill>
                  <bgColor theme="6" tint="0.79998168889431442"/>
                </patternFill>
              </fill>
            </x14:dxf>
          </x14:cfRule>
          <xm:sqref>I6:I29</xm:sqref>
        </x14:conditionalFormatting>
        <x14:conditionalFormatting xmlns:xm="http://schemas.microsoft.com/office/excel/2006/main">
          <x14:cfRule type="containsText" priority="68" operator="containsText" id="{AE6D6811-F587-D243-9BBD-7D62BBEFF34D}">
            <xm:f>NOT(ISERROR(SEARCH("faux",V5)))</xm:f>
            <xm:f>"faux"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m:sqref>V5:V29 X5:X29</xm:sqref>
        </x14:conditionalFormatting>
        <x14:conditionalFormatting xmlns:xm="http://schemas.microsoft.com/office/excel/2006/main">
          <x14:cfRule type="containsText" priority="20" operator="containsText" id="{4405B574-857D-7C4E-A53C-871DC3A0D834}">
            <xm:f>NOT(ISERROR(SEARCH("faux",Z5)))</xm:f>
            <xm:f>"faux"</xm:f>
            <x14:dxf>
              <font>
                <color rgb="FF000000"/>
              </font>
              <fill>
                <patternFill patternType="solid">
                  <fgColor indexed="16"/>
                  <bgColor indexed="17"/>
                </patternFill>
              </fill>
            </x14:dxf>
          </x14:cfRule>
          <xm:sqref>Z5:Z29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000-000000000000}">
          <x14:formula1>
            <xm:f>'Valeurs Règlement Campagne'!$A$4:$A$7</xm:f>
          </x14:formula1>
          <xm:sqref>C5:C29</xm:sqref>
        </x14:dataValidation>
        <x14:dataValidation type="list" allowBlank="1" showInputMessage="1" showErrorMessage="1" xr:uid="{00000000-0002-0000-0000-000002000000}">
          <x14:formula1>
            <xm:f>'Valeurs Règlement Campagne'!$B$3:$C$3</xm:f>
          </x14:formula1>
          <xm:sqref>E5:E29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14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L14" sqref="L14"/>
    </sheetView>
  </sheetViews>
  <sheetFormatPr baseColWidth="10" defaultColWidth="16.33203125" defaultRowHeight="20" customHeight="1"/>
  <cols>
    <col min="1" max="1" width="16.33203125" style="1" customWidth="1"/>
    <col min="2" max="2" width="9.33203125" style="1" bestFit="1" customWidth="1"/>
    <col min="3" max="3" width="12.6640625" style="1" bestFit="1" customWidth="1"/>
    <col min="4" max="5" width="6.33203125" style="1" bestFit="1" customWidth="1"/>
    <col min="6" max="6" width="4.83203125" style="1" bestFit="1" customWidth="1"/>
    <col min="7" max="7" width="5.1640625" style="1" bestFit="1" customWidth="1"/>
    <col min="8" max="9" width="5.6640625" style="1" bestFit="1" customWidth="1"/>
    <col min="10" max="11" width="7.1640625" style="1" bestFit="1" customWidth="1"/>
    <col min="12" max="14" width="6.33203125" style="1" bestFit="1" customWidth="1"/>
    <col min="15" max="17" width="4.6640625" style="1" bestFit="1" customWidth="1"/>
    <col min="18" max="20" width="5.6640625" style="1" bestFit="1" customWidth="1"/>
    <col min="21" max="22" width="7.1640625" style="1" bestFit="1" customWidth="1"/>
    <col min="23" max="23" width="6.83203125" style="1" bestFit="1" customWidth="1"/>
    <col min="24" max="16384" width="16.33203125" style="1"/>
  </cols>
  <sheetData>
    <row r="1" spans="1:24" ht="27.75" customHeight="1" thickBot="1">
      <c r="A1" s="300" t="s">
        <v>30</v>
      </c>
      <c r="B1" s="300"/>
      <c r="C1" s="300"/>
      <c r="D1" s="300"/>
      <c r="E1" s="300"/>
      <c r="F1" s="300"/>
      <c r="G1" s="300"/>
      <c r="H1" s="300"/>
      <c r="I1" s="300"/>
      <c r="J1" s="37"/>
      <c r="K1" s="37"/>
      <c r="X1" s="1">
        <v>1</v>
      </c>
    </row>
    <row r="2" spans="1:24" ht="35" thickBot="1">
      <c r="A2" s="301" t="s">
        <v>22</v>
      </c>
      <c r="B2" s="302"/>
      <c r="C2" s="303"/>
      <c r="D2" s="49" t="s">
        <v>46</v>
      </c>
      <c r="E2" s="50" t="s">
        <v>46</v>
      </c>
      <c r="F2" s="51" t="s">
        <v>48</v>
      </c>
      <c r="G2" s="51" t="s">
        <v>48</v>
      </c>
      <c r="H2" s="52" t="s">
        <v>47</v>
      </c>
      <c r="I2" s="52" t="s">
        <v>47</v>
      </c>
      <c r="J2" s="48" t="s">
        <v>44</v>
      </c>
      <c r="K2" s="48" t="s">
        <v>44</v>
      </c>
      <c r="L2" s="49" t="s">
        <v>46</v>
      </c>
      <c r="M2" s="49" t="s">
        <v>46</v>
      </c>
      <c r="N2" s="49" t="s">
        <v>46</v>
      </c>
      <c r="O2" s="51" t="s">
        <v>48</v>
      </c>
      <c r="P2" s="51" t="s">
        <v>48</v>
      </c>
      <c r="Q2" s="51" t="s">
        <v>48</v>
      </c>
      <c r="R2" s="52" t="s">
        <v>47</v>
      </c>
      <c r="S2" s="52" t="s">
        <v>47</v>
      </c>
      <c r="T2" s="52" t="s">
        <v>47</v>
      </c>
      <c r="U2" s="42" t="s">
        <v>44</v>
      </c>
      <c r="V2" s="40" t="s">
        <v>44</v>
      </c>
      <c r="W2" s="39" t="s">
        <v>45</v>
      </c>
      <c r="X2" s="1">
        <v>2</v>
      </c>
    </row>
    <row r="3" spans="1:24" ht="15" customHeight="1" thickBot="1">
      <c r="A3" s="17" t="s">
        <v>25</v>
      </c>
      <c r="B3" s="26" t="s">
        <v>23</v>
      </c>
      <c r="C3" s="25" t="s">
        <v>24</v>
      </c>
      <c r="D3" s="16" t="s">
        <v>10</v>
      </c>
      <c r="E3" s="2" t="s">
        <v>11</v>
      </c>
      <c r="F3" s="33" t="s">
        <v>10</v>
      </c>
      <c r="G3" s="2" t="s">
        <v>11</v>
      </c>
      <c r="H3" s="2" t="s">
        <v>10</v>
      </c>
      <c r="I3" s="38" t="s">
        <v>11</v>
      </c>
      <c r="J3" s="2" t="s">
        <v>10</v>
      </c>
      <c r="K3" s="29" t="s">
        <v>11</v>
      </c>
      <c r="L3" s="12"/>
      <c r="M3" s="7"/>
      <c r="N3" s="7"/>
      <c r="O3" s="7"/>
      <c r="P3" s="7"/>
      <c r="Q3" s="7"/>
      <c r="R3" s="7"/>
      <c r="S3" s="7"/>
      <c r="T3" s="7"/>
      <c r="U3" s="7"/>
      <c r="V3" s="7"/>
      <c r="W3" s="13"/>
      <c r="X3" s="1">
        <v>3</v>
      </c>
    </row>
    <row r="4" spans="1:24" ht="14.75" customHeight="1">
      <c r="A4" s="18" t="s">
        <v>27</v>
      </c>
      <c r="B4" s="24">
        <v>3</v>
      </c>
      <c r="C4" s="24">
        <v>3</v>
      </c>
      <c r="D4" s="14">
        <v>10</v>
      </c>
      <c r="E4" s="9">
        <v>15</v>
      </c>
      <c r="F4" s="10">
        <v>5</v>
      </c>
      <c r="G4" s="10">
        <v>10</v>
      </c>
      <c r="H4" s="53">
        <v>5</v>
      </c>
      <c r="I4" s="54">
        <v>10</v>
      </c>
      <c r="J4" s="28"/>
      <c r="K4" s="30"/>
      <c r="L4" s="14">
        <v>10</v>
      </c>
      <c r="M4" s="9">
        <v>15</v>
      </c>
      <c r="N4" s="9">
        <v>20</v>
      </c>
      <c r="O4" s="10">
        <v>5</v>
      </c>
      <c r="P4" s="10">
        <v>10</v>
      </c>
      <c r="Q4" s="10">
        <v>15</v>
      </c>
      <c r="R4" s="53">
        <v>5</v>
      </c>
      <c r="S4" s="57">
        <v>10</v>
      </c>
      <c r="T4" s="53">
        <v>15</v>
      </c>
      <c r="U4" s="41">
        <v>5</v>
      </c>
      <c r="V4" s="28">
        <v>10</v>
      </c>
      <c r="W4" s="27">
        <v>15</v>
      </c>
      <c r="X4" s="59">
        <v>4</v>
      </c>
    </row>
    <row r="5" spans="1:24" ht="14.75" customHeight="1">
      <c r="A5" s="18" t="s">
        <v>26</v>
      </c>
      <c r="B5" s="19">
        <v>3</v>
      </c>
      <c r="C5" s="19">
        <v>3</v>
      </c>
      <c r="D5" s="14">
        <v>15</v>
      </c>
      <c r="E5" s="9">
        <v>25</v>
      </c>
      <c r="F5" s="10">
        <v>10</v>
      </c>
      <c r="G5" s="10">
        <v>20</v>
      </c>
      <c r="H5" s="53">
        <v>10</v>
      </c>
      <c r="I5" s="54">
        <v>15</v>
      </c>
      <c r="J5" s="28"/>
      <c r="K5" s="30"/>
      <c r="L5" s="14">
        <v>20</v>
      </c>
      <c r="M5" s="9">
        <v>25</v>
      </c>
      <c r="N5" s="9">
        <v>30</v>
      </c>
      <c r="O5" s="10">
        <v>15</v>
      </c>
      <c r="P5" s="10">
        <v>20</v>
      </c>
      <c r="Q5" s="10">
        <v>25</v>
      </c>
      <c r="R5" s="53">
        <v>10</v>
      </c>
      <c r="S5" s="57">
        <v>15</v>
      </c>
      <c r="T5" s="53">
        <v>20</v>
      </c>
      <c r="U5" s="41">
        <v>10</v>
      </c>
      <c r="V5" s="28">
        <v>15</v>
      </c>
      <c r="W5" s="27">
        <v>20</v>
      </c>
      <c r="X5" s="59">
        <v>5</v>
      </c>
    </row>
    <row r="6" spans="1:24" ht="14.75" customHeight="1">
      <c r="A6" s="18" t="s">
        <v>28</v>
      </c>
      <c r="B6" s="19">
        <v>3</v>
      </c>
      <c r="C6" s="19">
        <v>3</v>
      </c>
      <c r="D6" s="14">
        <v>20</v>
      </c>
      <c r="E6" s="9">
        <v>35</v>
      </c>
      <c r="F6" s="10">
        <v>15</v>
      </c>
      <c r="G6" s="10">
        <v>30</v>
      </c>
      <c r="H6" s="53">
        <v>15</v>
      </c>
      <c r="I6" s="54">
        <v>25</v>
      </c>
      <c r="J6" s="28">
        <v>15</v>
      </c>
      <c r="K6" s="30">
        <v>25</v>
      </c>
      <c r="L6" s="14">
        <v>35</v>
      </c>
      <c r="M6" s="9">
        <v>40</v>
      </c>
      <c r="N6" s="9">
        <v>45</v>
      </c>
      <c r="O6" s="10">
        <v>30</v>
      </c>
      <c r="P6" s="10">
        <v>35</v>
      </c>
      <c r="Q6" s="10">
        <v>40</v>
      </c>
      <c r="R6" s="53">
        <v>20</v>
      </c>
      <c r="S6" s="57">
        <v>25</v>
      </c>
      <c r="T6" s="53">
        <v>30</v>
      </c>
      <c r="U6" s="41">
        <v>20</v>
      </c>
      <c r="V6" s="28">
        <v>25</v>
      </c>
      <c r="W6" s="27">
        <v>30</v>
      </c>
      <c r="X6" s="59">
        <v>6</v>
      </c>
    </row>
    <row r="7" spans="1:24" ht="14.75" customHeight="1" thickBot="1">
      <c r="A7" s="18" t="s">
        <v>29</v>
      </c>
      <c r="B7" s="20">
        <v>3</v>
      </c>
      <c r="C7" s="20">
        <v>3</v>
      </c>
      <c r="D7" s="21">
        <v>35</v>
      </c>
      <c r="E7" s="22">
        <v>55</v>
      </c>
      <c r="F7" s="23">
        <v>30</v>
      </c>
      <c r="G7" s="23">
        <v>45</v>
      </c>
      <c r="H7" s="55">
        <v>20</v>
      </c>
      <c r="I7" s="56">
        <v>35</v>
      </c>
      <c r="J7" s="32">
        <v>20</v>
      </c>
      <c r="K7" s="31">
        <v>30</v>
      </c>
      <c r="L7" s="43">
        <v>50</v>
      </c>
      <c r="M7" s="44">
        <v>55</v>
      </c>
      <c r="N7" s="44">
        <v>60</v>
      </c>
      <c r="O7" s="45">
        <v>40</v>
      </c>
      <c r="P7" s="45">
        <v>45</v>
      </c>
      <c r="Q7" s="45">
        <v>50</v>
      </c>
      <c r="R7" s="55">
        <v>30</v>
      </c>
      <c r="S7" s="58">
        <v>35</v>
      </c>
      <c r="T7" s="55">
        <v>40</v>
      </c>
      <c r="U7" s="46">
        <v>30</v>
      </c>
      <c r="V7" s="32">
        <v>30</v>
      </c>
      <c r="W7" s="47">
        <v>30</v>
      </c>
      <c r="X7" s="59">
        <v>7</v>
      </c>
    </row>
    <row r="8" spans="1:24" ht="14.75" customHeight="1" thickBot="1">
      <c r="D8" s="304" t="s">
        <v>23</v>
      </c>
      <c r="E8" s="305"/>
      <c r="F8" s="305"/>
      <c r="G8" s="305"/>
      <c r="H8" s="305"/>
      <c r="I8" s="305"/>
      <c r="J8" s="305"/>
      <c r="K8" s="306"/>
      <c r="L8" s="290" t="s">
        <v>24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2"/>
    </row>
    <row r="9" spans="1:24" customFormat="1" ht="14.75" customHeight="1">
      <c r="A9">
        <v>1</v>
      </c>
      <c r="B9">
        <f>A9+1</f>
        <v>2</v>
      </c>
      <c r="C9">
        <f t="shared" ref="C9:W9" si="0">B9+1</f>
        <v>3</v>
      </c>
      <c r="D9">
        <f t="shared" si="0"/>
        <v>4</v>
      </c>
      <c r="E9">
        <f t="shared" si="0"/>
        <v>5</v>
      </c>
      <c r="F9">
        <f t="shared" si="0"/>
        <v>6</v>
      </c>
      <c r="G9">
        <f t="shared" si="0"/>
        <v>7</v>
      </c>
      <c r="H9">
        <f t="shared" si="0"/>
        <v>8</v>
      </c>
      <c r="I9">
        <f t="shared" si="0"/>
        <v>9</v>
      </c>
      <c r="J9">
        <f t="shared" si="0"/>
        <v>10</v>
      </c>
      <c r="K9">
        <f t="shared" si="0"/>
        <v>11</v>
      </c>
      <c r="L9">
        <f t="shared" si="0"/>
        <v>12</v>
      </c>
      <c r="M9">
        <f t="shared" si="0"/>
        <v>13</v>
      </c>
      <c r="N9">
        <f t="shared" si="0"/>
        <v>14</v>
      </c>
      <c r="O9">
        <f t="shared" si="0"/>
        <v>15</v>
      </c>
      <c r="P9">
        <f t="shared" si="0"/>
        <v>16</v>
      </c>
      <c r="Q9">
        <f t="shared" si="0"/>
        <v>17</v>
      </c>
      <c r="R9">
        <f t="shared" si="0"/>
        <v>18</v>
      </c>
      <c r="S9">
        <f t="shared" si="0"/>
        <v>19</v>
      </c>
      <c r="T9">
        <f t="shared" si="0"/>
        <v>20</v>
      </c>
      <c r="U9">
        <f t="shared" si="0"/>
        <v>21</v>
      </c>
      <c r="V9">
        <f t="shared" si="0"/>
        <v>22</v>
      </c>
      <c r="W9">
        <f t="shared" si="0"/>
        <v>23</v>
      </c>
    </row>
    <row r="10" spans="1:24" ht="14.75" customHeight="1">
      <c r="A10" s="5" t="s">
        <v>34</v>
      </c>
      <c r="B10" s="4">
        <f>SUM(B4:C7)</f>
        <v>24</v>
      </c>
      <c r="C10" s="5" t="s">
        <v>12</v>
      </c>
      <c r="D10" s="15">
        <v>300</v>
      </c>
      <c r="E10" s="15">
        <v>330</v>
      </c>
      <c r="G10" s="7"/>
      <c r="H10" s="7"/>
      <c r="I10" s="7"/>
      <c r="J10" s="7"/>
      <c r="K10" s="7"/>
    </row>
    <row r="11" spans="1:24" ht="13.5" customHeight="1">
      <c r="C11" s="3" t="s">
        <v>13</v>
      </c>
      <c r="D11" s="8">
        <v>220</v>
      </c>
      <c r="E11" s="8">
        <v>244</v>
      </c>
      <c r="H11" s="293" t="s">
        <v>37</v>
      </c>
      <c r="I11" s="293"/>
      <c r="J11" s="293"/>
      <c r="K11" s="293"/>
      <c r="L11" s="11">
        <v>0.25</v>
      </c>
    </row>
    <row r="12" spans="1:24" ht="14.75" customHeight="1" thickBot="1">
      <c r="A12" s="63" t="s">
        <v>33</v>
      </c>
      <c r="D12" s="6">
        <v>192</v>
      </c>
      <c r="E12" s="6">
        <v>212</v>
      </c>
      <c r="H12" s="294" t="s">
        <v>38</v>
      </c>
      <c r="I12" s="294"/>
      <c r="J12" s="294"/>
      <c r="K12" s="294"/>
      <c r="L12" s="11">
        <v>1</v>
      </c>
    </row>
    <row r="13" spans="1:24" ht="17" thickBot="1">
      <c r="A13" s="63" t="s">
        <v>51</v>
      </c>
      <c r="E13" s="7"/>
      <c r="F13" s="7"/>
      <c r="G13" s="7"/>
      <c r="H13" s="295" t="s">
        <v>36</v>
      </c>
      <c r="I13" s="296"/>
      <c r="J13" s="296"/>
      <c r="K13" s="296"/>
      <c r="L13" s="35">
        <v>2</v>
      </c>
      <c r="M13" s="36" t="s">
        <v>39</v>
      </c>
    </row>
    <row r="14" spans="1:24" ht="32" customHeight="1" thickBot="1">
      <c r="E14" s="297" t="s">
        <v>35</v>
      </c>
      <c r="F14" s="298"/>
      <c r="G14" s="298"/>
      <c r="H14" s="298"/>
      <c r="I14" s="298"/>
      <c r="J14" s="298"/>
      <c r="K14" s="299"/>
      <c r="L14" s="34" t="s">
        <v>33</v>
      </c>
    </row>
  </sheetData>
  <sheetProtection sheet="1" objects="1" scenarios="1"/>
  <mergeCells count="8">
    <mergeCell ref="A1:I1"/>
    <mergeCell ref="A2:C2"/>
    <mergeCell ref="D8:K8"/>
    <mergeCell ref="L8:W8"/>
    <mergeCell ref="H11:K11"/>
    <mergeCell ref="H12:K12"/>
    <mergeCell ref="H13:K13"/>
    <mergeCell ref="E14:K14"/>
  </mergeCells>
  <dataValidations count="1">
    <dataValidation type="list" allowBlank="1" showInputMessage="1" showErrorMessage="1" sqref="L14" xr:uid="{2BF4AF5A-0F3F-9F44-8EA2-B49623398D46}">
      <formula1>$A$12:$A$13</formula1>
    </dataValidation>
  </dataValidations>
  <pageMargins left="1" right="1" top="1" bottom="1" header="0.25" footer="0.25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Organisateur</vt:lpstr>
      <vt:lpstr>Arbitre</vt:lpstr>
      <vt:lpstr>Valeurs Règlement Campagne</vt:lpstr>
      <vt:lpstr>Arbitre!Zone_d_impression</vt:lpstr>
      <vt:lpstr>Organisateur!Zone_d_impression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MAUFFREY</dc:creator>
  <cp:lastModifiedBy>Frédéric Desplats</cp:lastModifiedBy>
  <dcterms:created xsi:type="dcterms:W3CDTF">2024-10-12T19:59:35Z</dcterms:created>
  <dcterms:modified xsi:type="dcterms:W3CDTF">2026-05-13T07:15:10Z</dcterms:modified>
</cp:coreProperties>
</file>