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erf/Desktop/Archery sound/"/>
    </mc:Choice>
  </mc:AlternateContent>
  <xr:revisionPtr revIDLastSave="0" documentId="13_ncr:1_{64CB1D65-677B-E643-A59C-ED5A5146ED6B}" xr6:coauthVersionLast="47" xr6:coauthVersionMax="47" xr10:uidLastSave="{00000000-0000-0000-0000-000000000000}"/>
  <bookViews>
    <workbookView xWindow="4400" yWindow="600" windowWidth="28160" windowHeight="17020" activeTab="1" xr2:uid="{00000000-000D-0000-FFFF-FFFF00000000}"/>
  </bookViews>
  <sheets>
    <sheet name="Organisateur" sheetId="3" r:id="rId1"/>
    <sheet name="Arbitre" sheetId="1" r:id="rId2"/>
    <sheet name="Valeurs Règlement Campagne" sheetId="2" r:id="rId3"/>
  </sheets>
  <definedNames>
    <definedName name="_xlnm.Print_Area" localSheetId="1">Arbitre!$A$1:$AC$42</definedName>
    <definedName name="_xlnm.Print_Area" localSheetId="0">Organisateur!$A$1:$AH$42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E18" i="1"/>
  <c r="C5" i="1"/>
  <c r="E5" i="1"/>
  <c r="F5" i="1"/>
  <c r="AH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5" i="1"/>
  <c r="I5" i="1"/>
  <c r="X29" i="3" a="1"/>
  <c r="X29" i="3" s="1"/>
  <c r="X28" i="3" a="1"/>
  <c r="X28" i="3" s="1"/>
  <c r="X27" i="3" a="1"/>
  <c r="X27" i="3" s="1"/>
  <c r="X26" i="3" a="1"/>
  <c r="X26" i="3" s="1"/>
  <c r="X25" i="3" a="1"/>
  <c r="X25" i="3" s="1"/>
  <c r="X24" i="3" a="1"/>
  <c r="X24" i="3" s="1"/>
  <c r="X23" i="3" a="1"/>
  <c r="X23" i="3" s="1"/>
  <c r="X22" i="3" a="1"/>
  <c r="X22" i="3" s="1"/>
  <c r="X21" i="3" a="1"/>
  <c r="X21" i="3" s="1"/>
  <c r="X20" i="3" a="1"/>
  <c r="X20" i="3" s="1"/>
  <c r="X19" i="3" a="1"/>
  <c r="X19" i="3" s="1"/>
  <c r="X17" i="3" a="1"/>
  <c r="X17" i="3" s="1"/>
  <c r="X16" i="3" a="1"/>
  <c r="X16" i="3" s="1"/>
  <c r="X15" i="3" a="1"/>
  <c r="X15" i="3" s="1"/>
  <c r="X14" i="3" a="1"/>
  <c r="X14" i="3" s="1"/>
  <c r="X13" i="3" a="1"/>
  <c r="X13" i="3" s="1"/>
  <c r="X12" i="3" a="1"/>
  <c r="X12" i="3" s="1"/>
  <c r="X11" i="3" a="1"/>
  <c r="X11" i="3" s="1"/>
  <c r="X10" i="3" a="1"/>
  <c r="X10" i="3" s="1"/>
  <c r="X9" i="3" a="1"/>
  <c r="X9" i="3" s="1"/>
  <c r="X8" i="3" a="1"/>
  <c r="X8" i="3" s="1"/>
  <c r="X7" i="3" a="1"/>
  <c r="X7" i="3" s="1"/>
  <c r="X6" i="3" a="1"/>
  <c r="X6" i="3" s="1"/>
  <c r="U6" i="3" a="1"/>
  <c r="U6" i="3" s="1"/>
  <c r="U7" i="3" a="1"/>
  <c r="U7" i="3" s="1"/>
  <c r="U8" i="3" a="1"/>
  <c r="U8" i="3" s="1"/>
  <c r="U9" i="3" a="1"/>
  <c r="U9" i="3" s="1"/>
  <c r="U10" i="3" a="1"/>
  <c r="U10" i="3" s="1"/>
  <c r="U11" i="3" a="1"/>
  <c r="U11" i="3" s="1"/>
  <c r="U12" i="3" a="1"/>
  <c r="U12" i="3" s="1"/>
  <c r="U13" i="3" a="1"/>
  <c r="U13" i="3" s="1"/>
  <c r="U14" i="3" a="1"/>
  <c r="U14" i="3" s="1"/>
  <c r="U15" i="3" a="1"/>
  <c r="U15" i="3" s="1"/>
  <c r="U16" i="3" a="1"/>
  <c r="U16" i="3" s="1"/>
  <c r="U17" i="3" a="1"/>
  <c r="U17" i="3" s="1"/>
  <c r="U20" i="3" a="1"/>
  <c r="U20" i="3" s="1"/>
  <c r="U21" i="3" a="1"/>
  <c r="U21" i="3" s="1"/>
  <c r="U22" i="3" a="1"/>
  <c r="U22" i="3" s="1"/>
  <c r="U23" i="3" a="1"/>
  <c r="U23" i="3" s="1"/>
  <c r="U24" i="3" a="1"/>
  <c r="U24" i="3" s="1"/>
  <c r="U25" i="3" a="1"/>
  <c r="U25" i="3" s="1"/>
  <c r="U26" i="3" a="1"/>
  <c r="U26" i="3" s="1"/>
  <c r="U27" i="3" a="1"/>
  <c r="U27" i="3" s="1"/>
  <c r="U28" i="3" a="1"/>
  <c r="U28" i="3" s="1"/>
  <c r="U29" i="3" a="1"/>
  <c r="U29" i="3" s="1"/>
  <c r="W5" i="3" a="1"/>
  <c r="W5" i="3" s="1"/>
  <c r="W6" i="3" a="1"/>
  <c r="W6" i="3" s="1"/>
  <c r="W7" i="3" a="1"/>
  <c r="W7" i="3" s="1"/>
  <c r="W8" i="3" a="1"/>
  <c r="W8" i="3" s="1"/>
  <c r="W9" i="3" a="1"/>
  <c r="W9" i="3" s="1"/>
  <c r="W10" i="3" a="1"/>
  <c r="W10" i="3" s="1"/>
  <c r="W11" i="3" a="1"/>
  <c r="W11" i="3" s="1"/>
  <c r="W12" i="3" a="1"/>
  <c r="W12" i="3" s="1"/>
  <c r="W13" i="3" a="1"/>
  <c r="W13" i="3" s="1"/>
  <c r="W14" i="3" a="1"/>
  <c r="W14" i="3" s="1"/>
  <c r="W15" i="3" a="1"/>
  <c r="W15" i="3" s="1"/>
  <c r="W16" i="3" a="1"/>
  <c r="W16" i="3" s="1"/>
  <c r="W17" i="3" a="1"/>
  <c r="W17" i="3" s="1"/>
  <c r="W18" i="3" a="1"/>
  <c r="W18" i="3" s="1"/>
  <c r="W19" i="3" a="1"/>
  <c r="W19" i="3" s="1"/>
  <c r="W20" i="3" a="1"/>
  <c r="W20" i="3" s="1"/>
  <c r="W21" i="3" a="1"/>
  <c r="W21" i="3" s="1"/>
  <c r="W22" i="3" a="1"/>
  <c r="W22" i="3" s="1"/>
  <c r="W23" i="3" a="1"/>
  <c r="W23" i="3" s="1"/>
  <c r="W24" i="3" a="1"/>
  <c r="W24" i="3" s="1"/>
  <c r="W25" i="3" a="1"/>
  <c r="W25" i="3" s="1"/>
  <c r="W26" i="3" a="1"/>
  <c r="W26" i="3" s="1"/>
  <c r="W27" i="3" a="1"/>
  <c r="W27" i="3" s="1"/>
  <c r="W28" i="3" a="1"/>
  <c r="W28" i="3" s="1"/>
  <c r="W29" i="3" a="1"/>
  <c r="W29" i="3" s="1"/>
  <c r="Y6" i="3" a="1"/>
  <c r="Y6" i="3" s="1"/>
  <c r="Y7" i="3" a="1"/>
  <c r="Y7" i="3" s="1"/>
  <c r="Y8" i="3" a="1"/>
  <c r="Y8" i="3" s="1"/>
  <c r="Y9" i="3" a="1"/>
  <c r="Y9" i="3" s="1"/>
  <c r="Y10" i="3" a="1"/>
  <c r="Y10" i="3" s="1"/>
  <c r="Y11" i="3" a="1"/>
  <c r="Y11" i="3" s="1"/>
  <c r="Y12" i="3" a="1"/>
  <c r="Y12" i="3" s="1"/>
  <c r="Y13" i="3" a="1"/>
  <c r="Y13" i="3" s="1"/>
  <c r="Y14" i="3" a="1"/>
  <c r="Y14" i="3" s="1"/>
  <c r="Y15" i="3" a="1"/>
  <c r="Y15" i="3" s="1"/>
  <c r="Y16" i="3" a="1"/>
  <c r="Y16" i="3" s="1"/>
  <c r="Y17" i="3" a="1"/>
  <c r="Y17" i="3" s="1"/>
  <c r="Y20" i="3" a="1"/>
  <c r="Y20" i="3" s="1"/>
  <c r="Y21" i="3" a="1"/>
  <c r="Y21" i="3" s="1"/>
  <c r="Y22" i="3" a="1"/>
  <c r="Y22" i="3" s="1"/>
  <c r="Y23" i="3" a="1"/>
  <c r="Y23" i="3" s="1"/>
  <c r="Y24" i="3" a="1"/>
  <c r="Y24" i="3" s="1"/>
  <c r="Y25" i="3" a="1"/>
  <c r="Y25" i="3" s="1"/>
  <c r="AF25" i="3" s="1"/>
  <c r="Y26" i="3" a="1"/>
  <c r="Y26" i="3" s="1"/>
  <c r="Y27" i="3" a="1"/>
  <c r="Y27" i="3" s="1"/>
  <c r="Y28" i="3" a="1"/>
  <c r="Y28" i="3" s="1"/>
  <c r="Y29" i="3" a="1"/>
  <c r="Y29" i="3" s="1"/>
  <c r="V7" i="3" a="1"/>
  <c r="V7" i="3" s="1"/>
  <c r="V8" i="3" a="1"/>
  <c r="V8" i="3" s="1"/>
  <c r="V9" i="3" a="1"/>
  <c r="V9" i="3" s="1"/>
  <c r="V10" i="3" a="1"/>
  <c r="V10" i="3" s="1"/>
  <c r="V11" i="3" a="1"/>
  <c r="V11" i="3" s="1"/>
  <c r="V12" i="3" a="1"/>
  <c r="V12" i="3" s="1"/>
  <c r="V13" i="3" a="1"/>
  <c r="V13" i="3" s="1"/>
  <c r="V14" i="3" a="1"/>
  <c r="V14" i="3" s="1"/>
  <c r="V15" i="3" a="1"/>
  <c r="V15" i="3" s="1"/>
  <c r="V16" i="3" a="1"/>
  <c r="V16" i="3" s="1"/>
  <c r="V17" i="3" a="1"/>
  <c r="V17" i="3" s="1"/>
  <c r="V20" i="3" a="1"/>
  <c r="V20" i="3" s="1"/>
  <c r="V21" i="3" a="1"/>
  <c r="V21" i="3" s="1"/>
  <c r="V22" i="3" a="1"/>
  <c r="V22" i="3" s="1"/>
  <c r="V23" i="3" a="1"/>
  <c r="V23" i="3" s="1"/>
  <c r="V24" i="3" a="1"/>
  <c r="V24" i="3" s="1"/>
  <c r="V25" i="3" a="1"/>
  <c r="V25" i="3" s="1"/>
  <c r="V26" i="3" a="1"/>
  <c r="V26" i="3" s="1"/>
  <c r="V27" i="3" a="1"/>
  <c r="V27" i="3" s="1"/>
  <c r="V28" i="3" a="1"/>
  <c r="V28" i="3" s="1"/>
  <c r="V29" i="3" a="1"/>
  <c r="V29" i="3" s="1"/>
  <c r="V6" i="3" a="1"/>
  <c r="V6" i="3" s="1"/>
  <c r="AF10" i="3" l="1"/>
  <c r="AF7" i="3"/>
  <c r="AF20" i="3"/>
  <c r="AF26" i="3"/>
  <c r="AF8" i="3"/>
  <c r="AF9" i="3"/>
  <c r="AF15" i="3"/>
  <c r="AF22" i="3"/>
  <c r="AF28" i="3"/>
  <c r="AF16" i="3"/>
  <c r="AF6" i="3"/>
  <c r="AF12" i="3"/>
  <c r="AF24" i="3"/>
  <c r="AF13" i="3"/>
  <c r="AF14" i="3"/>
  <c r="AF21" i="3"/>
  <c r="AF27" i="3"/>
  <c r="AF11" i="3"/>
  <c r="AF17" i="3"/>
  <c r="AF23" i="3"/>
  <c r="AF29" i="3"/>
  <c r="R29" i="3" l="1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T29" i="3"/>
  <c r="S29" i="3"/>
  <c r="Q29" i="3"/>
  <c r="P29" i="3"/>
  <c r="O29" i="3"/>
  <c r="N29" i="3"/>
  <c r="M29" i="3"/>
  <c r="L29" i="3"/>
  <c r="T28" i="3"/>
  <c r="S28" i="3"/>
  <c r="Q28" i="3"/>
  <c r="P28" i="3"/>
  <c r="O28" i="3"/>
  <c r="N28" i="3"/>
  <c r="M28" i="3"/>
  <c r="L28" i="3"/>
  <c r="T27" i="3"/>
  <c r="S27" i="3"/>
  <c r="Q27" i="3"/>
  <c r="P27" i="3"/>
  <c r="O27" i="3"/>
  <c r="N27" i="3"/>
  <c r="M27" i="3"/>
  <c r="L27" i="3"/>
  <c r="T26" i="3"/>
  <c r="S26" i="3"/>
  <c r="Q26" i="3"/>
  <c r="P26" i="3"/>
  <c r="O26" i="3"/>
  <c r="N26" i="3"/>
  <c r="M26" i="3"/>
  <c r="L26" i="3"/>
  <c r="T25" i="3"/>
  <c r="S25" i="3"/>
  <c r="Q25" i="3"/>
  <c r="P25" i="3"/>
  <c r="O25" i="3"/>
  <c r="N25" i="3"/>
  <c r="M25" i="3"/>
  <c r="L25" i="3"/>
  <c r="T24" i="3"/>
  <c r="S24" i="3"/>
  <c r="Q24" i="3"/>
  <c r="P24" i="3"/>
  <c r="O24" i="3"/>
  <c r="N24" i="3"/>
  <c r="M24" i="3"/>
  <c r="L24" i="3"/>
  <c r="T23" i="3"/>
  <c r="S23" i="3"/>
  <c r="Q23" i="3"/>
  <c r="P23" i="3"/>
  <c r="O23" i="3"/>
  <c r="N23" i="3"/>
  <c r="M23" i="3"/>
  <c r="L23" i="3"/>
  <c r="T22" i="3"/>
  <c r="S22" i="3"/>
  <c r="Q22" i="3"/>
  <c r="P22" i="3"/>
  <c r="O22" i="3"/>
  <c r="N22" i="3"/>
  <c r="M22" i="3"/>
  <c r="L22" i="3"/>
  <c r="T21" i="3"/>
  <c r="S21" i="3"/>
  <c r="Q21" i="3"/>
  <c r="P21" i="3"/>
  <c r="O21" i="3"/>
  <c r="N21" i="3"/>
  <c r="M21" i="3"/>
  <c r="L21" i="3"/>
  <c r="T20" i="3"/>
  <c r="S20" i="3"/>
  <c r="Q20" i="3"/>
  <c r="P20" i="3"/>
  <c r="O20" i="3"/>
  <c r="N20" i="3"/>
  <c r="M20" i="3"/>
  <c r="L20" i="3"/>
  <c r="T19" i="3"/>
  <c r="S19" i="3"/>
  <c r="Q19" i="3"/>
  <c r="P19" i="3"/>
  <c r="O19" i="3"/>
  <c r="N19" i="3"/>
  <c r="M19" i="3"/>
  <c r="L19" i="3"/>
  <c r="T18" i="3"/>
  <c r="S18" i="3"/>
  <c r="Q18" i="3"/>
  <c r="P18" i="3"/>
  <c r="O18" i="3"/>
  <c r="N18" i="3"/>
  <c r="M18" i="3"/>
  <c r="L18" i="3"/>
  <c r="T17" i="3"/>
  <c r="S17" i="3"/>
  <c r="Q17" i="3"/>
  <c r="P17" i="3"/>
  <c r="O17" i="3"/>
  <c r="N17" i="3"/>
  <c r="M17" i="3"/>
  <c r="L17" i="3"/>
  <c r="T16" i="3"/>
  <c r="S16" i="3"/>
  <c r="Q16" i="3"/>
  <c r="P16" i="3"/>
  <c r="O16" i="3"/>
  <c r="N16" i="3"/>
  <c r="M16" i="3"/>
  <c r="L16" i="3"/>
  <c r="T15" i="3"/>
  <c r="S15" i="3"/>
  <c r="Q15" i="3"/>
  <c r="P15" i="3"/>
  <c r="O15" i="3"/>
  <c r="N15" i="3"/>
  <c r="M15" i="3"/>
  <c r="L15" i="3"/>
  <c r="T14" i="3"/>
  <c r="S14" i="3"/>
  <c r="Q14" i="3"/>
  <c r="P14" i="3"/>
  <c r="O14" i="3"/>
  <c r="N14" i="3"/>
  <c r="M14" i="3"/>
  <c r="L14" i="3"/>
  <c r="T13" i="3"/>
  <c r="S13" i="3"/>
  <c r="Q13" i="3"/>
  <c r="P13" i="3"/>
  <c r="O13" i="3"/>
  <c r="N13" i="3"/>
  <c r="M13" i="3"/>
  <c r="L13" i="3"/>
  <c r="T12" i="3"/>
  <c r="S12" i="3"/>
  <c r="Q12" i="3"/>
  <c r="P12" i="3"/>
  <c r="O12" i="3"/>
  <c r="N12" i="3"/>
  <c r="M12" i="3"/>
  <c r="L12" i="3"/>
  <c r="T11" i="3"/>
  <c r="S11" i="3"/>
  <c r="Q11" i="3"/>
  <c r="P11" i="3"/>
  <c r="O11" i="3"/>
  <c r="N11" i="3"/>
  <c r="M11" i="3"/>
  <c r="L11" i="3"/>
  <c r="T10" i="3"/>
  <c r="S10" i="3"/>
  <c r="Q10" i="3"/>
  <c r="P10" i="3"/>
  <c r="O10" i="3"/>
  <c r="N10" i="3"/>
  <c r="M10" i="3"/>
  <c r="L10" i="3"/>
  <c r="T9" i="3"/>
  <c r="S9" i="3"/>
  <c r="Q9" i="3"/>
  <c r="P9" i="3"/>
  <c r="O9" i="3"/>
  <c r="N9" i="3"/>
  <c r="M9" i="3"/>
  <c r="L9" i="3"/>
  <c r="T8" i="3"/>
  <c r="S8" i="3"/>
  <c r="Q8" i="3"/>
  <c r="P8" i="3"/>
  <c r="O8" i="3"/>
  <c r="N8" i="3"/>
  <c r="M8" i="3"/>
  <c r="L8" i="3"/>
  <c r="T7" i="3"/>
  <c r="S7" i="3"/>
  <c r="Q7" i="3"/>
  <c r="P7" i="3"/>
  <c r="O7" i="3"/>
  <c r="N7" i="3"/>
  <c r="M7" i="3"/>
  <c r="L7" i="3"/>
  <c r="T6" i="3"/>
  <c r="S6" i="3"/>
  <c r="Q6" i="3"/>
  <c r="P6" i="3"/>
  <c r="O6" i="3"/>
  <c r="N6" i="3"/>
  <c r="M6" i="3"/>
  <c r="L6" i="3"/>
  <c r="T5" i="3"/>
  <c r="S5" i="3"/>
  <c r="Q5" i="3"/>
  <c r="P5" i="3"/>
  <c r="O5" i="3"/>
  <c r="N5" i="3"/>
  <c r="M5" i="3"/>
  <c r="L5" i="3"/>
  <c r="I16" i="1"/>
  <c r="G14" i="1"/>
  <c r="C7" i="1"/>
  <c r="C8" i="1"/>
  <c r="C9" i="1"/>
  <c r="C10" i="1"/>
  <c r="C11" i="1"/>
  <c r="C12" i="1"/>
  <c r="C13" i="1"/>
  <c r="C14" i="1"/>
  <c r="C15" i="1"/>
  <c r="C16" i="1"/>
  <c r="C17" i="1"/>
  <c r="C19" i="1"/>
  <c r="C20" i="1"/>
  <c r="C21" i="1"/>
  <c r="C22" i="1"/>
  <c r="C23" i="1"/>
  <c r="C24" i="1"/>
  <c r="C25" i="1"/>
  <c r="C26" i="1"/>
  <c r="C27" i="1"/>
  <c r="C28" i="1"/>
  <c r="C29" i="1"/>
  <c r="A1" i="1"/>
  <c r="E7" i="1"/>
  <c r="F7" i="1"/>
  <c r="G7" i="1"/>
  <c r="H7" i="1"/>
  <c r="I7" i="1"/>
  <c r="I29" i="1"/>
  <c r="I20" i="1"/>
  <c r="I10" i="1"/>
  <c r="H8" i="1"/>
  <c r="G9" i="1"/>
  <c r="F18" i="1"/>
  <c r="G15" i="1"/>
  <c r="G12" i="1"/>
  <c r="G21" i="1"/>
  <c r="F8" i="1"/>
  <c r="F6" i="1"/>
  <c r="C6" i="1"/>
  <c r="G6" i="1"/>
  <c r="G5" i="1"/>
  <c r="H5" i="1"/>
  <c r="E6" i="1"/>
  <c r="H6" i="1"/>
  <c r="I6" i="1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9" i="3"/>
  <c r="AH8" i="3"/>
  <c r="AH7" i="3"/>
  <c r="AH6" i="3"/>
  <c r="AH5" i="3"/>
  <c r="AH10" i="3"/>
  <c r="B5" i="1"/>
  <c r="B6" i="1"/>
  <c r="H29" i="1"/>
  <c r="G29" i="1"/>
  <c r="F29" i="1"/>
  <c r="E29" i="1"/>
  <c r="B29" i="1"/>
  <c r="I28" i="1"/>
  <c r="H28" i="1"/>
  <c r="G28" i="1"/>
  <c r="F28" i="1"/>
  <c r="E28" i="1"/>
  <c r="B28" i="1"/>
  <c r="I27" i="1"/>
  <c r="H27" i="1"/>
  <c r="G27" i="1"/>
  <c r="F27" i="1"/>
  <c r="E27" i="1"/>
  <c r="B27" i="1"/>
  <c r="I26" i="1"/>
  <c r="H26" i="1"/>
  <c r="G26" i="1"/>
  <c r="F26" i="1"/>
  <c r="E26" i="1"/>
  <c r="B26" i="1"/>
  <c r="I25" i="1"/>
  <c r="H25" i="1"/>
  <c r="G25" i="1"/>
  <c r="F25" i="1"/>
  <c r="E25" i="1"/>
  <c r="B25" i="1"/>
  <c r="I24" i="1"/>
  <c r="H24" i="1"/>
  <c r="G24" i="1"/>
  <c r="F24" i="1"/>
  <c r="E24" i="1"/>
  <c r="B24" i="1"/>
  <c r="I23" i="1"/>
  <c r="H23" i="1"/>
  <c r="G23" i="1"/>
  <c r="F23" i="1"/>
  <c r="E23" i="1"/>
  <c r="B23" i="1"/>
  <c r="I22" i="1"/>
  <c r="H22" i="1"/>
  <c r="G22" i="1"/>
  <c r="F22" i="1"/>
  <c r="E22" i="1"/>
  <c r="B22" i="1"/>
  <c r="I21" i="1"/>
  <c r="H21" i="1"/>
  <c r="F21" i="1"/>
  <c r="E21" i="1"/>
  <c r="B21" i="1"/>
  <c r="H20" i="1"/>
  <c r="G20" i="1"/>
  <c r="F20" i="1"/>
  <c r="E20" i="1"/>
  <c r="B20" i="1"/>
  <c r="I19" i="1"/>
  <c r="H19" i="1"/>
  <c r="G19" i="1"/>
  <c r="F19" i="1"/>
  <c r="E19" i="1"/>
  <c r="B19" i="1"/>
  <c r="I18" i="1"/>
  <c r="AH18" i="1" s="1"/>
  <c r="H18" i="1"/>
  <c r="G18" i="1"/>
  <c r="B18" i="1"/>
  <c r="I17" i="1"/>
  <c r="H17" i="1"/>
  <c r="G17" i="1"/>
  <c r="F17" i="1"/>
  <c r="E17" i="1"/>
  <c r="B17" i="1"/>
  <c r="H16" i="1"/>
  <c r="G16" i="1"/>
  <c r="F16" i="1"/>
  <c r="E16" i="1"/>
  <c r="B16" i="1"/>
  <c r="I15" i="1"/>
  <c r="H15" i="1"/>
  <c r="F15" i="1"/>
  <c r="E15" i="1"/>
  <c r="B15" i="1"/>
  <c r="I14" i="1"/>
  <c r="H14" i="1"/>
  <c r="F14" i="1"/>
  <c r="E14" i="1"/>
  <c r="B14" i="1"/>
  <c r="I13" i="1"/>
  <c r="H13" i="1"/>
  <c r="G13" i="1"/>
  <c r="F13" i="1"/>
  <c r="E13" i="1"/>
  <c r="B13" i="1"/>
  <c r="I12" i="1"/>
  <c r="H12" i="1"/>
  <c r="F12" i="1"/>
  <c r="E12" i="1"/>
  <c r="B12" i="1"/>
  <c r="I11" i="1"/>
  <c r="H11" i="1"/>
  <c r="G11" i="1"/>
  <c r="F11" i="1"/>
  <c r="E11" i="1"/>
  <c r="B11" i="1"/>
  <c r="H10" i="1"/>
  <c r="G10" i="1"/>
  <c r="F10" i="1"/>
  <c r="E10" i="1"/>
  <c r="B10" i="1"/>
  <c r="I9" i="1"/>
  <c r="H9" i="1"/>
  <c r="F9" i="1"/>
  <c r="E9" i="1"/>
  <c r="B9" i="1"/>
  <c r="I8" i="1"/>
  <c r="G8" i="1"/>
  <c r="E8" i="1"/>
  <c r="B8" i="1"/>
  <c r="B7" i="1"/>
  <c r="E41" i="3"/>
  <c r="D41" i="3"/>
  <c r="E40" i="3"/>
  <c r="D40" i="3"/>
  <c r="E39" i="3"/>
  <c r="D39" i="3"/>
  <c r="H38" i="3"/>
  <c r="G38" i="3"/>
  <c r="F38" i="3"/>
  <c r="B38" i="3"/>
  <c r="H37" i="3"/>
  <c r="G37" i="3"/>
  <c r="F37" i="3"/>
  <c r="B35" i="3"/>
  <c r="A35" i="3"/>
  <c r="B34" i="3"/>
  <c r="A34" i="3"/>
  <c r="H34" i="3" s="1"/>
  <c r="B33" i="3"/>
  <c r="A33" i="3"/>
  <c r="B32" i="3"/>
  <c r="A32" i="3"/>
  <c r="D31" i="3"/>
  <c r="C31" i="3"/>
  <c r="AK29" i="3"/>
  <c r="AJ29" i="3"/>
  <c r="AI29" i="3"/>
  <c r="AK28" i="3"/>
  <c r="AJ28" i="3"/>
  <c r="AI28" i="3"/>
  <c r="AK27" i="3"/>
  <c r="AJ27" i="3"/>
  <c r="AI27" i="3"/>
  <c r="AK26" i="3"/>
  <c r="AJ26" i="3"/>
  <c r="AI26" i="3"/>
  <c r="AK25" i="3"/>
  <c r="AJ25" i="3"/>
  <c r="AI25" i="3"/>
  <c r="AK24" i="3"/>
  <c r="AJ24" i="3"/>
  <c r="AI24" i="3"/>
  <c r="AK23" i="3"/>
  <c r="AJ23" i="3"/>
  <c r="AI23" i="3"/>
  <c r="AK22" i="3"/>
  <c r="AJ22" i="3"/>
  <c r="AI22" i="3"/>
  <c r="AK21" i="3"/>
  <c r="AJ21" i="3"/>
  <c r="AI21" i="3"/>
  <c r="AK20" i="3"/>
  <c r="AJ20" i="3"/>
  <c r="AI20" i="3"/>
  <c r="AK19" i="3"/>
  <c r="AJ19" i="3"/>
  <c r="AI19" i="3"/>
  <c r="AK18" i="3"/>
  <c r="AJ18" i="3"/>
  <c r="AI18" i="3"/>
  <c r="AK17" i="3"/>
  <c r="AJ17" i="3"/>
  <c r="AI17" i="3"/>
  <c r="AK16" i="3"/>
  <c r="AJ16" i="3"/>
  <c r="AI16" i="3"/>
  <c r="AK15" i="3"/>
  <c r="AJ15" i="3"/>
  <c r="AI15" i="3"/>
  <c r="AK14" i="3"/>
  <c r="AJ14" i="3"/>
  <c r="AI14" i="3"/>
  <c r="AK13" i="3"/>
  <c r="AJ13" i="3"/>
  <c r="AI13" i="3"/>
  <c r="AK12" i="3"/>
  <c r="AJ12" i="3"/>
  <c r="AI12" i="3"/>
  <c r="AK11" i="3"/>
  <c r="AJ11" i="3"/>
  <c r="AI11" i="3"/>
  <c r="AK10" i="3"/>
  <c r="AJ10" i="3"/>
  <c r="AI10" i="3"/>
  <c r="AK9" i="3"/>
  <c r="AJ9" i="3"/>
  <c r="AI9" i="3"/>
  <c r="AK8" i="3"/>
  <c r="AJ8" i="3"/>
  <c r="AI8" i="3"/>
  <c r="AK7" i="3"/>
  <c r="AJ7" i="3"/>
  <c r="AI7" i="3"/>
  <c r="AK6" i="3"/>
  <c r="AJ6" i="3"/>
  <c r="AI6" i="3"/>
  <c r="AK5" i="3"/>
  <c r="AJ5" i="3"/>
  <c r="AI5" i="3"/>
  <c r="B38" i="1"/>
  <c r="B9" i="2"/>
  <c r="C9" i="2" s="1"/>
  <c r="D9" i="2" s="1"/>
  <c r="E9" i="2" s="1"/>
  <c r="F9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W9" i="2" s="1"/>
  <c r="X9" i="2" s="1"/>
  <c r="Y9" i="2" s="1"/>
  <c r="Z9" i="2" s="1"/>
  <c r="AA9" i="2" s="1"/>
  <c r="AB9" i="2" s="1"/>
  <c r="D31" i="1"/>
  <c r="C31" i="1"/>
  <c r="B33" i="1"/>
  <c r="B34" i="1"/>
  <c r="B35" i="1"/>
  <c r="B32" i="1"/>
  <c r="B10" i="2"/>
  <c r="Y26" i="1" l="1" a="1"/>
  <c r="Y26" i="1" s="1"/>
  <c r="X26" i="1" a="1"/>
  <c r="X26" i="1" s="1"/>
  <c r="AF26" i="1" s="1"/>
  <c r="U26" i="1" a="1"/>
  <c r="U26" i="1" s="1"/>
  <c r="W26" i="1" a="1"/>
  <c r="W26" i="1" s="1"/>
  <c r="V26" i="1" a="1"/>
  <c r="V26" i="1" s="1"/>
  <c r="AB26" i="1" s="1"/>
  <c r="O22" i="1"/>
  <c r="R22" i="1"/>
  <c r="L22" i="1"/>
  <c r="Q22" i="1"/>
  <c r="P22" i="1"/>
  <c r="M22" i="1"/>
  <c r="AH22" i="1"/>
  <c r="T22" i="1"/>
  <c r="S22" i="1"/>
  <c r="N22" i="1"/>
  <c r="R23" i="1"/>
  <c r="L23" i="1"/>
  <c r="O23" i="1"/>
  <c r="Q23" i="1"/>
  <c r="P23" i="1"/>
  <c r="M23" i="1"/>
  <c r="T23" i="1"/>
  <c r="S23" i="1"/>
  <c r="N23" i="1"/>
  <c r="AH23" i="1"/>
  <c r="O24" i="1"/>
  <c r="AH24" i="1"/>
  <c r="R24" i="1"/>
  <c r="L24" i="1"/>
  <c r="Q24" i="1"/>
  <c r="P24" i="1"/>
  <c r="M24" i="1"/>
  <c r="T24" i="1"/>
  <c r="S24" i="1"/>
  <c r="N24" i="1"/>
  <c r="R25" i="1"/>
  <c r="L25" i="1"/>
  <c r="O25" i="1"/>
  <c r="Q25" i="1"/>
  <c r="P25" i="1"/>
  <c r="M25" i="1"/>
  <c r="T25" i="1"/>
  <c r="AH25" i="1"/>
  <c r="S25" i="1"/>
  <c r="N25" i="1"/>
  <c r="O26" i="1"/>
  <c r="R26" i="1"/>
  <c r="L26" i="1"/>
  <c r="Q26" i="1"/>
  <c r="AH26" i="1"/>
  <c r="P26" i="1"/>
  <c r="M26" i="1"/>
  <c r="T26" i="1"/>
  <c r="S26" i="1"/>
  <c r="N26" i="1"/>
  <c r="R27" i="1"/>
  <c r="L27" i="1"/>
  <c r="O27" i="1"/>
  <c r="AH27" i="1"/>
  <c r="Q27" i="1"/>
  <c r="P27" i="1"/>
  <c r="M27" i="1"/>
  <c r="T27" i="1"/>
  <c r="S27" i="1"/>
  <c r="N27" i="1"/>
  <c r="O28" i="1"/>
  <c r="R28" i="1"/>
  <c r="L28" i="1"/>
  <c r="Q28" i="1"/>
  <c r="P28" i="1"/>
  <c r="M28" i="1"/>
  <c r="T28" i="1"/>
  <c r="AH28" i="1"/>
  <c r="S28" i="1"/>
  <c r="N28" i="1"/>
  <c r="R29" i="1"/>
  <c r="L29" i="1"/>
  <c r="O29" i="1"/>
  <c r="Q29" i="1"/>
  <c r="P29" i="1"/>
  <c r="M29" i="1"/>
  <c r="T29" i="1"/>
  <c r="AH29" i="1"/>
  <c r="S29" i="1"/>
  <c r="N29" i="1"/>
  <c r="W24" i="1" a="1"/>
  <c r="W24" i="1" s="1"/>
  <c r="V24" i="1" a="1"/>
  <c r="V24" i="1" s="1"/>
  <c r="Y24" i="1" a="1"/>
  <c r="Y24" i="1" s="1"/>
  <c r="X24" i="1" a="1"/>
  <c r="X24" i="1" s="1"/>
  <c r="U24" i="1" a="1"/>
  <c r="U24" i="1" s="1"/>
  <c r="Y17" i="1" a="1"/>
  <c r="Y17" i="1" s="1"/>
  <c r="W17" i="1" a="1"/>
  <c r="W17" i="1" s="1"/>
  <c r="AD17" i="1" s="1"/>
  <c r="X17" i="1" a="1"/>
  <c r="X17" i="1" s="1"/>
  <c r="U17" i="1" a="1"/>
  <c r="U17" i="1" s="1"/>
  <c r="V17" i="1" a="1"/>
  <c r="V17" i="1" s="1"/>
  <c r="U11" i="1" a="1"/>
  <c r="U11" i="1" s="1"/>
  <c r="W11" i="1" a="1"/>
  <c r="W11" i="1" s="1"/>
  <c r="V11" i="1" a="1"/>
  <c r="V11" i="1" s="1"/>
  <c r="AB11" i="1" s="1"/>
  <c r="Y11" i="1" a="1"/>
  <c r="Y11" i="1" s="1"/>
  <c r="X11" i="1" a="1"/>
  <c r="X11" i="1" s="1"/>
  <c r="W7" i="1" a="1"/>
  <c r="W7" i="1" s="1"/>
  <c r="X7" i="1" a="1"/>
  <c r="X7" i="1" s="1"/>
  <c r="V7" i="1" a="1"/>
  <c r="V7" i="1" s="1"/>
  <c r="Y7" i="1" a="1"/>
  <c r="Y7" i="1" s="1"/>
  <c r="U7" i="1" a="1"/>
  <c r="U7" i="1" s="1"/>
  <c r="O16" i="1"/>
  <c r="R16" i="1"/>
  <c r="L16" i="1"/>
  <c r="Q16" i="1"/>
  <c r="P16" i="1"/>
  <c r="M16" i="1"/>
  <c r="T16" i="1"/>
  <c r="S16" i="1"/>
  <c r="N16" i="1"/>
  <c r="AH16" i="1"/>
  <c r="Y19" i="1" a="1"/>
  <c r="Y19" i="1" s="1"/>
  <c r="U19" i="1" a="1"/>
  <c r="U19" i="1" s="1"/>
  <c r="W19" i="1" a="1"/>
  <c r="W19" i="1" s="1"/>
  <c r="X19" i="1" a="1"/>
  <c r="X19" i="1" s="1"/>
  <c r="V19" i="1" a="1"/>
  <c r="V19" i="1" s="1"/>
  <c r="R13" i="1"/>
  <c r="L13" i="1"/>
  <c r="O13" i="1"/>
  <c r="Q13" i="1"/>
  <c r="P13" i="1"/>
  <c r="M13" i="1"/>
  <c r="AH13" i="1"/>
  <c r="T13" i="1"/>
  <c r="S13" i="1"/>
  <c r="N13" i="1"/>
  <c r="W29" i="1" a="1"/>
  <c r="W29" i="1" s="1"/>
  <c r="X29" i="1" a="1"/>
  <c r="X29" i="1" s="1"/>
  <c r="U29" i="1" a="1"/>
  <c r="U29" i="1" s="1"/>
  <c r="Y29" i="1" a="1"/>
  <c r="Y29" i="1" s="1"/>
  <c r="V29" i="1" a="1"/>
  <c r="V29" i="1" s="1"/>
  <c r="W23" i="1" a="1"/>
  <c r="W23" i="1" s="1"/>
  <c r="X23" i="1" a="1"/>
  <c r="X23" i="1" s="1"/>
  <c r="U23" i="1" a="1"/>
  <c r="U23" i="1" s="1"/>
  <c r="V23" i="1" a="1"/>
  <c r="V23" i="1" s="1"/>
  <c r="Y23" i="1" a="1"/>
  <c r="Y23" i="1" s="1"/>
  <c r="V16" i="1" a="1"/>
  <c r="V16" i="1" s="1"/>
  <c r="U16" i="1" a="1"/>
  <c r="U16" i="1" s="1"/>
  <c r="W16" i="1" a="1"/>
  <c r="W16" i="1" s="1"/>
  <c r="X16" i="1" a="1"/>
  <c r="X16" i="1" s="1"/>
  <c r="Y16" i="1" a="1"/>
  <c r="Y16" i="1" s="1"/>
  <c r="Y10" i="1" a="1"/>
  <c r="Y10" i="1" s="1"/>
  <c r="X10" i="1" a="1"/>
  <c r="X10" i="1" s="1"/>
  <c r="V10" i="1" a="1"/>
  <c r="V10" i="1" s="1"/>
  <c r="U10" i="1" a="1"/>
  <c r="U10" i="1" s="1"/>
  <c r="W10" i="1" a="1"/>
  <c r="W10" i="1" s="1"/>
  <c r="Y13" i="1" a="1"/>
  <c r="Y13" i="1" s="1"/>
  <c r="W13" i="1" a="1"/>
  <c r="W13" i="1" s="1"/>
  <c r="AD13" i="1" s="1"/>
  <c r="X13" i="1" a="1"/>
  <c r="X13" i="1" s="1"/>
  <c r="V13" i="1" a="1"/>
  <c r="V13" i="1" s="1"/>
  <c r="U13" i="1" a="1"/>
  <c r="U13" i="1" s="1"/>
  <c r="X25" i="1" a="1"/>
  <c r="X25" i="1" s="1"/>
  <c r="W25" i="1" a="1"/>
  <c r="W25" i="1" s="1"/>
  <c r="U25" i="1" a="1"/>
  <c r="U25" i="1" s="1"/>
  <c r="Y25" i="1" a="1"/>
  <c r="Y25" i="1" s="1"/>
  <c r="V25" i="1" a="1"/>
  <c r="V25" i="1" s="1"/>
  <c r="Y22" i="1" a="1"/>
  <c r="Y22" i="1" s="1"/>
  <c r="V22" i="1" a="1"/>
  <c r="V22" i="1" s="1"/>
  <c r="X22" i="1" a="1"/>
  <c r="X22" i="1" s="1"/>
  <c r="W22" i="1" a="1"/>
  <c r="W22" i="1" s="1"/>
  <c r="AD22" i="1" s="1"/>
  <c r="U22" i="1" a="1"/>
  <c r="U22" i="1" s="1"/>
  <c r="R9" i="1"/>
  <c r="L9" i="1"/>
  <c r="O9" i="1"/>
  <c r="AH9" i="1"/>
  <c r="Q9" i="1"/>
  <c r="P9" i="1"/>
  <c r="M9" i="1"/>
  <c r="T9" i="1"/>
  <c r="S9" i="1"/>
  <c r="N9" i="1"/>
  <c r="R17" i="1"/>
  <c r="L17" i="1"/>
  <c r="O17" i="1"/>
  <c r="Q17" i="1"/>
  <c r="AH17" i="1"/>
  <c r="P17" i="1"/>
  <c r="M17" i="1"/>
  <c r="T17" i="1"/>
  <c r="S17" i="1"/>
  <c r="N17" i="1"/>
  <c r="X20" i="1" a="1"/>
  <c r="X20" i="1" s="1"/>
  <c r="U20" i="1" a="1"/>
  <c r="U20" i="1" s="1"/>
  <c r="W20" i="1" a="1"/>
  <c r="W20" i="1" s="1"/>
  <c r="Y20" i="1" a="1"/>
  <c r="Y20" i="1" s="1"/>
  <c r="V20" i="1" a="1"/>
  <c r="V20" i="1" s="1"/>
  <c r="O18" i="1"/>
  <c r="R18" i="1"/>
  <c r="L18" i="1"/>
  <c r="Q18" i="1"/>
  <c r="P18" i="1"/>
  <c r="M18" i="1"/>
  <c r="T18" i="1"/>
  <c r="S18" i="1"/>
  <c r="P5" i="1"/>
  <c r="N18" i="1"/>
  <c r="N5" i="1"/>
  <c r="T5" i="1"/>
  <c r="R5" i="1"/>
  <c r="S5" i="1"/>
  <c r="L5" i="1"/>
  <c r="O5" i="1"/>
  <c r="Q5" i="1"/>
  <c r="M5" i="1"/>
  <c r="R7" i="1"/>
  <c r="L7" i="1"/>
  <c r="O7" i="1"/>
  <c r="Q7" i="1"/>
  <c r="M7" i="1"/>
  <c r="T7" i="1"/>
  <c r="AH7" i="1"/>
  <c r="U18" i="1" s="1" a="1"/>
  <c r="U18" i="1" s="1"/>
  <c r="S7" i="1"/>
  <c r="P7" i="1"/>
  <c r="N7" i="1"/>
  <c r="W12" i="1" a="1"/>
  <c r="W12" i="1" s="1"/>
  <c r="X12" i="1" a="1"/>
  <c r="X12" i="1" s="1"/>
  <c r="V12" i="1" a="1"/>
  <c r="V12" i="1" s="1"/>
  <c r="AB12" i="1" s="1"/>
  <c r="Y12" i="1" a="1"/>
  <c r="Y12" i="1" s="1"/>
  <c r="U12" i="1" a="1"/>
  <c r="U12" i="1" s="1"/>
  <c r="O8" i="1"/>
  <c r="R8" i="1"/>
  <c r="L8" i="1"/>
  <c r="Q8" i="1"/>
  <c r="AH8" i="1"/>
  <c r="M8" i="1"/>
  <c r="T8" i="1"/>
  <c r="S8" i="1"/>
  <c r="P8" i="1"/>
  <c r="N8" i="1"/>
  <c r="R15" i="1"/>
  <c r="L15" i="1"/>
  <c r="O15" i="1"/>
  <c r="AH15" i="1"/>
  <c r="Q15" i="1"/>
  <c r="P15" i="1"/>
  <c r="M15" i="1"/>
  <c r="T15" i="1"/>
  <c r="S15" i="1"/>
  <c r="N15" i="1"/>
  <c r="O14" i="1"/>
  <c r="R14" i="1"/>
  <c r="L14" i="1"/>
  <c r="Q14" i="1"/>
  <c r="P14" i="1"/>
  <c r="M14" i="1"/>
  <c r="T14" i="1"/>
  <c r="S14" i="1"/>
  <c r="N14" i="1"/>
  <c r="AH14" i="1"/>
  <c r="R21" i="1"/>
  <c r="L21" i="1"/>
  <c r="O21" i="1"/>
  <c r="AH21" i="1"/>
  <c r="Q21" i="1"/>
  <c r="P21" i="1"/>
  <c r="M21" i="1"/>
  <c r="T21" i="1"/>
  <c r="S21" i="1"/>
  <c r="N21" i="1"/>
  <c r="Y6" i="1" a="1"/>
  <c r="Y6" i="1" s="1"/>
  <c r="X6" i="1" a="1"/>
  <c r="X6" i="1" s="1"/>
  <c r="U6" i="1" a="1"/>
  <c r="U6" i="1" s="1"/>
  <c r="W6" i="1" a="1"/>
  <c r="W6" i="1" s="1"/>
  <c r="AD6" i="1" s="1"/>
  <c r="V6" i="1" a="1"/>
  <c r="V6" i="1" s="1"/>
  <c r="R11" i="1"/>
  <c r="L11" i="1"/>
  <c r="O11" i="1"/>
  <c r="Q11" i="1"/>
  <c r="P11" i="1"/>
  <c r="M11" i="1"/>
  <c r="T11" i="1"/>
  <c r="AH11" i="1"/>
  <c r="S11" i="1"/>
  <c r="N11" i="1"/>
  <c r="O12" i="1"/>
  <c r="AH12" i="1"/>
  <c r="R12" i="1"/>
  <c r="L12" i="1"/>
  <c r="Q12" i="1"/>
  <c r="P12" i="1"/>
  <c r="M12" i="1"/>
  <c r="T12" i="1"/>
  <c r="S12" i="1"/>
  <c r="N12" i="1"/>
  <c r="R19" i="1"/>
  <c r="L19" i="1"/>
  <c r="O19" i="1"/>
  <c r="Q19" i="1"/>
  <c r="P19" i="1"/>
  <c r="M19" i="1"/>
  <c r="T19" i="1"/>
  <c r="S19" i="1"/>
  <c r="N19" i="1"/>
  <c r="AH19" i="1"/>
  <c r="O20" i="1"/>
  <c r="R20" i="1"/>
  <c r="L20" i="1"/>
  <c r="Q20" i="1"/>
  <c r="P20" i="1"/>
  <c r="M20" i="1"/>
  <c r="T20" i="1"/>
  <c r="AH20" i="1"/>
  <c r="S20" i="1"/>
  <c r="N20" i="1"/>
  <c r="W5" i="1" a="1"/>
  <c r="W5" i="1" s="1"/>
  <c r="W18" i="1" a="1"/>
  <c r="W18" i="1" s="1"/>
  <c r="Y28" i="1" a="1"/>
  <c r="Y28" i="1" s="1"/>
  <c r="W28" i="1" a="1"/>
  <c r="W28" i="1" s="1"/>
  <c r="U28" i="1" a="1"/>
  <c r="U28" i="1" s="1"/>
  <c r="V28" i="1" a="1"/>
  <c r="V28" i="1" s="1"/>
  <c r="X28" i="1" a="1"/>
  <c r="X28" i="1" s="1"/>
  <c r="X15" i="1" a="1"/>
  <c r="X15" i="1" s="1"/>
  <c r="V15" i="1" a="1"/>
  <c r="V15" i="1" s="1"/>
  <c r="AB15" i="1" s="1"/>
  <c r="Y15" i="1" a="1"/>
  <c r="Y15" i="1" s="1"/>
  <c r="W15" i="1" a="1"/>
  <c r="W15" i="1" s="1"/>
  <c r="U15" i="1" a="1"/>
  <c r="U15" i="1" s="1"/>
  <c r="V9" i="1" a="1"/>
  <c r="V9" i="1" s="1"/>
  <c r="Y9" i="1" a="1"/>
  <c r="Y9" i="1" s="1"/>
  <c r="X9" i="1" a="1"/>
  <c r="X9" i="1" s="1"/>
  <c r="W9" i="1" a="1"/>
  <c r="W9" i="1" s="1"/>
  <c r="U9" i="1" a="1"/>
  <c r="U9" i="1" s="1"/>
  <c r="O10" i="1"/>
  <c r="R10" i="1"/>
  <c r="L10" i="1"/>
  <c r="Q10" i="1"/>
  <c r="P10" i="1"/>
  <c r="M10" i="1"/>
  <c r="T10" i="1"/>
  <c r="AH10" i="1"/>
  <c r="S10" i="1"/>
  <c r="N10" i="1"/>
  <c r="O6" i="1"/>
  <c r="AH6" i="1"/>
  <c r="R6" i="1"/>
  <c r="L6" i="1"/>
  <c r="Q6" i="1"/>
  <c r="M6" i="1"/>
  <c r="T6" i="1"/>
  <c r="S6" i="1"/>
  <c r="P6" i="1"/>
  <c r="N6" i="1"/>
  <c r="V27" i="1" a="1"/>
  <c r="V27" i="1" s="1"/>
  <c r="X27" i="1" a="1"/>
  <c r="X27" i="1" s="1"/>
  <c r="Y27" i="1" a="1"/>
  <c r="Y27" i="1" s="1"/>
  <c r="U27" i="1" a="1"/>
  <c r="U27" i="1" s="1"/>
  <c r="W27" i="1" a="1"/>
  <c r="W27" i="1" s="1"/>
  <c r="Y21" i="1" a="1"/>
  <c r="Y21" i="1" s="1"/>
  <c r="V21" i="1" a="1"/>
  <c r="V21" i="1" s="1"/>
  <c r="X21" i="1" a="1"/>
  <c r="X21" i="1" s="1"/>
  <c r="U21" i="1" a="1"/>
  <c r="U21" i="1" s="1"/>
  <c r="W21" i="1" a="1"/>
  <c r="W21" i="1" s="1"/>
  <c r="U14" i="1" a="1"/>
  <c r="U14" i="1" s="1"/>
  <c r="Y14" i="1" a="1"/>
  <c r="Y14" i="1" s="1"/>
  <c r="W14" i="1" a="1"/>
  <c r="W14" i="1" s="1"/>
  <c r="X14" i="1" a="1"/>
  <c r="X14" i="1" s="1"/>
  <c r="V14" i="1" a="1"/>
  <c r="V14" i="1" s="1"/>
  <c r="U8" i="1" a="1"/>
  <c r="U8" i="1" s="1"/>
  <c r="W8" i="1" a="1"/>
  <c r="W8" i="1" s="1"/>
  <c r="Y8" i="1" a="1"/>
  <c r="Y8" i="1" s="1"/>
  <c r="X8" i="1" a="1"/>
  <c r="X8" i="1" s="1"/>
  <c r="V8" i="1" a="1"/>
  <c r="V8" i="1" s="1"/>
  <c r="AB8" i="1" s="1"/>
  <c r="X5" i="3" a="1"/>
  <c r="X5" i="3" s="1"/>
  <c r="Y18" i="3" a="1"/>
  <c r="Y18" i="3" s="1"/>
  <c r="X18" i="3" a="1"/>
  <c r="X18" i="3" s="1"/>
  <c r="AF18" i="3" s="1"/>
  <c r="V18" i="3" a="1"/>
  <c r="V18" i="3" s="1"/>
  <c r="U18" i="3" a="1"/>
  <c r="U18" i="3" s="1"/>
  <c r="Y19" i="3" a="1"/>
  <c r="Y19" i="3" s="1"/>
  <c r="AF19" i="3" s="1"/>
  <c r="V5" i="3" a="1"/>
  <c r="V5" i="3" s="1"/>
  <c r="U19" i="3" a="1"/>
  <c r="U19" i="3" s="1"/>
  <c r="Y5" i="3" a="1"/>
  <c r="Y5" i="3" s="1"/>
  <c r="V19" i="3" a="1"/>
  <c r="V19" i="3" s="1"/>
  <c r="U5" i="3" a="1"/>
  <c r="U5" i="3" s="1"/>
  <c r="C33" i="3"/>
  <c r="C32" i="3"/>
  <c r="C35" i="3"/>
  <c r="G35" i="3"/>
  <c r="G33" i="3"/>
  <c r="F39" i="3"/>
  <c r="G34" i="3"/>
  <c r="H41" i="3"/>
  <c r="D35" i="3"/>
  <c r="D34" i="3"/>
  <c r="B36" i="3"/>
  <c r="D33" i="3"/>
  <c r="H35" i="3"/>
  <c r="D32" i="3"/>
  <c r="G32" i="3"/>
  <c r="H33" i="3"/>
  <c r="H32" i="3"/>
  <c r="C34" i="3"/>
  <c r="H37" i="1"/>
  <c r="G37" i="1"/>
  <c r="G40" i="3"/>
  <c r="F38" i="1"/>
  <c r="G38" i="1"/>
  <c r="F37" i="1"/>
  <c r="H38" i="1"/>
  <c r="F32" i="3"/>
  <c r="F33" i="3"/>
  <c r="F34" i="3"/>
  <c r="F35" i="3"/>
  <c r="E41" i="1"/>
  <c r="D41" i="1"/>
  <c r="E40" i="1"/>
  <c r="D40" i="1"/>
  <c r="A33" i="1"/>
  <c r="A34" i="1"/>
  <c r="A35" i="1"/>
  <c r="A32" i="1"/>
  <c r="E39" i="1"/>
  <c r="D39" i="1"/>
  <c r="Z22" i="1" l="1"/>
  <c r="Z14" i="1"/>
  <c r="AB28" i="1"/>
  <c r="AD20" i="1"/>
  <c r="AF27" i="1"/>
  <c r="AD16" i="1"/>
  <c r="AD29" i="1"/>
  <c r="AD7" i="1"/>
  <c r="AB9" i="1"/>
  <c r="AF28" i="1"/>
  <c r="AD14" i="1"/>
  <c r="AB21" i="1"/>
  <c r="AB27" i="1"/>
  <c r="AF15" i="1"/>
  <c r="AB6" i="1"/>
  <c r="AF12" i="1"/>
  <c r="AB25" i="1"/>
  <c r="AB13" i="1"/>
  <c r="AB10" i="1"/>
  <c r="Z16" i="1"/>
  <c r="AF11" i="1"/>
  <c r="AD26" i="1"/>
  <c r="AF8" i="1"/>
  <c r="AB20" i="1"/>
  <c r="AD23" i="1"/>
  <c r="AD19" i="1"/>
  <c r="Z17" i="1"/>
  <c r="AB29" i="1"/>
  <c r="Z19" i="1"/>
  <c r="AD24" i="1"/>
  <c r="AF6" i="1"/>
  <c r="AD25" i="1"/>
  <c r="Z29" i="1"/>
  <c r="AB7" i="1"/>
  <c r="AD8" i="1"/>
  <c r="AD27" i="1"/>
  <c r="Z15" i="1"/>
  <c r="Z6" i="1"/>
  <c r="Z25" i="1"/>
  <c r="Z8" i="1"/>
  <c r="AD21" i="1"/>
  <c r="Z27" i="1"/>
  <c r="U5" i="1" a="1"/>
  <c r="U5" i="1" s="1"/>
  <c r="V5" i="1" a="1"/>
  <c r="V5" i="1" s="1"/>
  <c r="AB5" i="1" s="1"/>
  <c r="Y5" i="1" a="1"/>
  <c r="Y5" i="1" s="1"/>
  <c r="X5" i="1" a="1"/>
  <c r="X5" i="1" s="1"/>
  <c r="AD5" i="1" s="1"/>
  <c r="Z9" i="1"/>
  <c r="AD15" i="1"/>
  <c r="Z28" i="1"/>
  <c r="Z12" i="1"/>
  <c r="Z20" i="1"/>
  <c r="AF22" i="1"/>
  <c r="AB23" i="1"/>
  <c r="AD11" i="1"/>
  <c r="AB14" i="1"/>
  <c r="Z21" i="1"/>
  <c r="AD9" i="1"/>
  <c r="AD28" i="1"/>
  <c r="AF20" i="1"/>
  <c r="AB22" i="1"/>
  <c r="AF25" i="1"/>
  <c r="AD10" i="1"/>
  <c r="AF16" i="1"/>
  <c r="Z23" i="1"/>
  <c r="AF29" i="1"/>
  <c r="AB19" i="1"/>
  <c r="AF7" i="1"/>
  <c r="Z11" i="1"/>
  <c r="Z24" i="1"/>
  <c r="AF14" i="1"/>
  <c r="AF21" i="1"/>
  <c r="AF9" i="1"/>
  <c r="Z13" i="1"/>
  <c r="Z10" i="1"/>
  <c r="AF23" i="1"/>
  <c r="AF19" i="1"/>
  <c r="AB17" i="1"/>
  <c r="AF24" i="1"/>
  <c r="V18" i="1" a="1"/>
  <c r="V18" i="1" s="1"/>
  <c r="AB18" i="1" s="1"/>
  <c r="Z26" i="1"/>
  <c r="Y18" i="1" a="1"/>
  <c r="Y18" i="1" s="1"/>
  <c r="AD12" i="1"/>
  <c r="AF13" i="1"/>
  <c r="AF10" i="1"/>
  <c r="AB16" i="1"/>
  <c r="Z7" i="1"/>
  <c r="AF17" i="1"/>
  <c r="AB24" i="1"/>
  <c r="X18" i="1" a="1"/>
  <c r="X18" i="1" s="1"/>
  <c r="AF5" i="3"/>
  <c r="Z5" i="3"/>
  <c r="AD23" i="3"/>
  <c r="AD14" i="3"/>
  <c r="AD18" i="3"/>
  <c r="AD12" i="3"/>
  <c r="AD9" i="3"/>
  <c r="AD26" i="3"/>
  <c r="AD25" i="3"/>
  <c r="AD16" i="3"/>
  <c r="AD6" i="3"/>
  <c r="AD27" i="3"/>
  <c r="AD19" i="3"/>
  <c r="AD7" i="3"/>
  <c r="AD21" i="3"/>
  <c r="AD8" i="3"/>
  <c r="AD15" i="3"/>
  <c r="AD10" i="3"/>
  <c r="AD29" i="3"/>
  <c r="AD24" i="3"/>
  <c r="AD22" i="3"/>
  <c r="C36" i="3"/>
  <c r="E32" i="3"/>
  <c r="D36" i="3"/>
  <c r="E35" i="3"/>
  <c r="E34" i="3"/>
  <c r="E33" i="3"/>
  <c r="AD17" i="3"/>
  <c r="AB25" i="3"/>
  <c r="Z16" i="3"/>
  <c r="Z28" i="3"/>
  <c r="AB21" i="3"/>
  <c r="Z10" i="3"/>
  <c r="Z21" i="3"/>
  <c r="AB27" i="3"/>
  <c r="AB7" i="3"/>
  <c r="Z14" i="3"/>
  <c r="Z24" i="3"/>
  <c r="AB17" i="3"/>
  <c r="AB15" i="3"/>
  <c r="AB9" i="3"/>
  <c r="AD13" i="3"/>
  <c r="AB12" i="3"/>
  <c r="AB26" i="3"/>
  <c r="AB19" i="3"/>
  <c r="Z15" i="3"/>
  <c r="AB6" i="3"/>
  <c r="Z17" i="3"/>
  <c r="AB11" i="3"/>
  <c r="AB13" i="3"/>
  <c r="AB16" i="3"/>
  <c r="Z11" i="3"/>
  <c r="Z27" i="3"/>
  <c r="AB23" i="3"/>
  <c r="Z20" i="3"/>
  <c r="Z25" i="3"/>
  <c r="Z12" i="3"/>
  <c r="Z6" i="3"/>
  <c r="Z29" i="3"/>
  <c r="AB29" i="3"/>
  <c r="AB24" i="3"/>
  <c r="AB8" i="3"/>
  <c r="AD11" i="3"/>
  <c r="AB20" i="3"/>
  <c r="AB22" i="3"/>
  <c r="Z22" i="3"/>
  <c r="Z13" i="3"/>
  <c r="AB18" i="3"/>
  <c r="AB28" i="3"/>
  <c r="AB14" i="3"/>
  <c r="AD20" i="3"/>
  <c r="AB10" i="3"/>
  <c r="AD28" i="3"/>
  <c r="Z9" i="3"/>
  <c r="Z26" i="3"/>
  <c r="Z18" i="3"/>
  <c r="Z19" i="3"/>
  <c r="Z8" i="3"/>
  <c r="Z23" i="3"/>
  <c r="Z7" i="3"/>
  <c r="F39" i="1"/>
  <c r="G40" i="1"/>
  <c r="H41" i="1"/>
  <c r="H35" i="1"/>
  <c r="F35" i="1"/>
  <c r="G35" i="1"/>
  <c r="H34" i="1"/>
  <c r="F34" i="1"/>
  <c r="G34" i="1"/>
  <c r="F33" i="1"/>
  <c r="H33" i="1"/>
  <c r="G33" i="1"/>
  <c r="F32" i="1"/>
  <c r="H32" i="1"/>
  <c r="G32" i="1"/>
  <c r="D33" i="1"/>
  <c r="C33" i="1"/>
  <c r="D32" i="1"/>
  <c r="C32" i="1"/>
  <c r="D35" i="1"/>
  <c r="C35" i="1"/>
  <c r="C34" i="1"/>
  <c r="D34" i="1"/>
  <c r="B36" i="1"/>
  <c r="AF5" i="1" l="1"/>
  <c r="Z5" i="1"/>
  <c r="AF18" i="1"/>
  <c r="AD18" i="1"/>
  <c r="Z18" i="1"/>
  <c r="AD5" i="3"/>
  <c r="E32" i="1"/>
  <c r="E33" i="1"/>
  <c r="E35" i="1"/>
  <c r="D36" i="1"/>
  <c r="E34" i="1"/>
  <c r="C36" i="1"/>
  <c r="AB5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<sst xmlns="http://schemas.openxmlformats.org/spreadsheetml/2006/main" count="177" uniqueCount="57">
  <si>
    <t>Lieu - date - numéro projet</t>
  </si>
  <si>
    <t>Rouge</t>
  </si>
  <si>
    <t>Bleu</t>
  </si>
  <si>
    <t>Blanc</t>
  </si>
  <si>
    <t>Num Cible</t>
  </si>
  <si>
    <t>mini</t>
  </si>
  <si>
    <t>maxi</t>
  </si>
  <si>
    <t>Près du greffe</t>
  </si>
  <si>
    <t>Total</t>
  </si>
  <si>
    <t>Contrôle Nb</t>
  </si>
  <si>
    <t>Mini</t>
  </si>
  <si>
    <t>Maxi</t>
  </si>
  <si>
    <t>Total distance</t>
  </si>
  <si>
    <t>officiel</t>
  </si>
  <si>
    <t>Saisie Distances parcours</t>
  </si>
  <si>
    <t>Nb réglementaire répartition par type</t>
  </si>
  <si>
    <t>Moyenne</t>
  </si>
  <si>
    <t>Choix du
type de cible
(liste)</t>
  </si>
  <si>
    <t>Saisie libre des informations
de Localisation</t>
  </si>
  <si>
    <r>
      <t xml:space="preserve">Contrôle Distances
</t>
    </r>
    <r>
      <rPr>
        <b/>
        <sz val="10"/>
        <color rgb="FF0F1BFF"/>
        <rFont val="Calibri"/>
        <family val="2"/>
      </rPr>
      <t>inter-piquets</t>
    </r>
  </si>
  <si>
    <r>
      <t xml:space="preserve">Contrôle saisies
</t>
    </r>
    <r>
      <rPr>
        <b/>
        <sz val="10"/>
        <color rgb="FF0F1BFF"/>
        <rFont val="Calibri"/>
        <family val="2"/>
      </rPr>
      <t>distances des piquets</t>
    </r>
  </si>
  <si>
    <t>Exemple</t>
  </si>
  <si>
    <t>Campagne - 24 cibles</t>
  </si>
  <si>
    <t>Inconnues</t>
  </si>
  <si>
    <t>Connues</t>
  </si>
  <si>
    <t>Cibles</t>
  </si>
  <si>
    <t>4 cibles de 40 cm</t>
  </si>
  <si>
    <t>4 trispots 20 cm</t>
  </si>
  <si>
    <t>1 cible de 60 cm</t>
  </si>
  <si>
    <t>1 cible de 80 cm</t>
  </si>
  <si>
    <t>Tableau Règles Campagne</t>
  </si>
  <si>
    <t>Distance connue ou inconnue ?</t>
  </si>
  <si>
    <r>
      <t xml:space="preserve">Rappel </t>
    </r>
    <r>
      <rPr>
        <b/>
        <sz val="10"/>
        <color rgb="FF0F1BFF"/>
        <rFont val="Calibri"/>
        <family val="2"/>
      </rPr>
      <t>distances</t>
    </r>
    <r>
      <rPr>
        <sz val="10"/>
        <color indexed="9"/>
        <rFont val="Calibri"/>
        <family val="2"/>
      </rPr>
      <t xml:space="preserve">
de la  sélection</t>
    </r>
  </si>
  <si>
    <t>OUI</t>
  </si>
  <si>
    <t>Total cibles</t>
  </si>
  <si>
    <t>Utiliser la tolérance 2m pour les connues ? OUI ou NON -&gt;</t>
  </si>
  <si>
    <t>Tolérance Connues</t>
  </si>
  <si>
    <t>INFO : Tolérance ≤15m</t>
  </si>
  <si>
    <t>INFO : Tolérance &gt;15m</t>
  </si>
  <si>
    <t>mètres</t>
  </si>
  <si>
    <t>∑</t>
  </si>
  <si>
    <t>Fourchette réglementaire inconnues piquet Rouge</t>
  </si>
  <si>
    <t>Fourchette réglementaire inconnues piquet Bleu</t>
  </si>
  <si>
    <t>Orange</t>
  </si>
  <si>
    <t>Pas
Orange</t>
  </si>
  <si>
    <t>Pas
orange</t>
  </si>
  <si>
    <t>Pas
Rouge</t>
  </si>
  <si>
    <t>Pas
Blanc</t>
  </si>
  <si>
    <t>Pas
bleu</t>
  </si>
  <si>
    <t>Fourchette réglementaire inconnues piquet Blanc</t>
  </si>
  <si>
    <t xml:space="preserve">Tolérance 2m : </t>
  </si>
  <si>
    <t>NON</t>
  </si>
  <si>
    <t>Contrôle
U13</t>
  </si>
  <si>
    <t>ORGANISATEUR</t>
  </si>
  <si>
    <t>Pas
Rose</t>
  </si>
  <si>
    <t>Rose</t>
  </si>
  <si>
    <t>ARBITRE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</si>
</sst>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color indexed="8"/>
      <name val="Helvetica Neue"/>
    </font>
    <font>
      <sz val="12"/>
      <color indexed="8"/>
      <name val="Helvetica Neue"/>
      <family val="2"/>
    </font>
    <font>
      <sz val="10"/>
      <color indexed="9"/>
      <name val="Calibri"/>
      <family val="2"/>
    </font>
    <font>
      <b/>
      <sz val="10"/>
      <color indexed="13"/>
      <name val="Calibri"/>
      <family val="2"/>
    </font>
    <font>
      <b/>
      <sz val="10"/>
      <color indexed="9"/>
      <name val="Calibri"/>
      <family val="2"/>
    </font>
    <font>
      <sz val="10"/>
      <color indexed="13"/>
      <name val="Calibri"/>
      <family val="2"/>
    </font>
    <font>
      <sz val="10"/>
      <color indexed="8"/>
      <name val="Calibri"/>
      <family val="2"/>
    </font>
    <font>
      <b/>
      <sz val="10"/>
      <color indexed="13"/>
      <name val="Helvetica Neue"/>
      <family val="2"/>
    </font>
    <font>
      <sz val="8"/>
      <color indexed="8"/>
      <name val="Calibri"/>
      <family val="2"/>
    </font>
    <font>
      <sz val="9"/>
      <color indexed="9"/>
      <name val="Geneva"/>
      <family val="2"/>
    </font>
    <font>
      <sz val="12"/>
      <color indexed="9"/>
      <name val="Calibri"/>
      <family val="2"/>
    </font>
    <font>
      <sz val="12"/>
      <color indexed="8"/>
      <name val="Calibri"/>
      <family val="2"/>
    </font>
    <font>
      <sz val="9"/>
      <color indexed="8"/>
      <name val="Geneva"/>
      <family val="2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b/>
      <sz val="10"/>
      <color rgb="FFC00000"/>
      <name val="Helvetica Neue"/>
      <family val="2"/>
    </font>
    <font>
      <b/>
      <sz val="10"/>
      <color theme="1"/>
      <name val="Helvetica Neue"/>
      <family val="2"/>
    </font>
    <font>
      <b/>
      <sz val="10"/>
      <color theme="1"/>
      <name val="Calibri"/>
      <family val="2"/>
    </font>
    <font>
      <sz val="10"/>
      <color indexed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Helvetica Neue"/>
      <family val="2"/>
    </font>
    <font>
      <b/>
      <sz val="9"/>
      <color indexed="8"/>
      <name val="Calibri"/>
      <family val="2"/>
    </font>
    <font>
      <b/>
      <sz val="10"/>
      <color rgb="FF0F1BFF"/>
      <name val="Calibri"/>
      <family val="2"/>
    </font>
    <font>
      <i/>
      <sz val="10"/>
      <color theme="0"/>
      <name val="Helv"/>
    </font>
    <font>
      <b/>
      <sz val="9"/>
      <color rgb="FFFF0000"/>
      <name val="Geneva"/>
      <family val="2"/>
    </font>
    <font>
      <b/>
      <sz val="12"/>
      <color indexed="8"/>
      <name val="Helvetica Neue"/>
      <family val="2"/>
    </font>
    <font>
      <b/>
      <sz val="10"/>
      <color indexed="8"/>
      <name val="Calibri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2"/>
      <color theme="0"/>
      <name val="Calibri"/>
      <family val="2"/>
    </font>
    <font>
      <sz val="12"/>
      <name val="Calibri"/>
      <family val="2"/>
    </font>
    <font>
      <b/>
      <sz val="8"/>
      <color theme="1"/>
      <name val="Calibri"/>
      <family val="2"/>
    </font>
    <font>
      <sz val="10"/>
      <color theme="0"/>
      <name val="Helvetica Neue"/>
      <family val="2"/>
    </font>
    <font>
      <b/>
      <sz val="10"/>
      <color rgb="FF945200"/>
      <name val="Helvetica Neue"/>
      <family val="2"/>
      <scheme val="minor"/>
    </font>
    <font>
      <sz val="28"/>
      <color indexed="8"/>
      <name val="Helvetica Neue"/>
      <family val="2"/>
    </font>
    <font>
      <b/>
      <sz val="10"/>
      <color rgb="FF0432FF"/>
      <name val="Helvetica Neue"/>
      <family val="2"/>
    </font>
    <font>
      <b/>
      <sz val="10"/>
      <color rgb="FF945200"/>
      <name val="Helvetica Neue"/>
      <family val="2"/>
    </font>
    <font>
      <b/>
      <sz val="10"/>
      <color theme="9"/>
      <name val="Helvetica Neue"/>
      <family val="2"/>
      <scheme val="minor"/>
    </font>
    <font>
      <b/>
      <sz val="8"/>
      <color theme="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8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DFDB"/>
        <bgColor indexed="64"/>
      </patternFill>
    </fill>
    <fill>
      <patternFill patternType="solid">
        <fgColor rgb="FFCBEC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 style="thin">
        <color indexed="11"/>
      </left>
      <right style="thin">
        <color indexed="15"/>
      </right>
      <top style="thin">
        <color indexed="11"/>
      </top>
      <bottom style="thin">
        <color indexed="11"/>
      </bottom>
      <diagonal/>
    </border>
    <border>
      <left style="thin">
        <color indexed="15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1"/>
      </top>
      <bottom style="thin">
        <color indexed="11"/>
      </bottom>
      <diagonal/>
    </border>
    <border>
      <left style="medium">
        <color indexed="64"/>
      </left>
      <right style="medium">
        <color indexed="64"/>
      </right>
      <top style="thin">
        <color indexed="1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5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1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A5A5A5"/>
      </bottom>
      <diagonal/>
    </border>
    <border>
      <left/>
      <right style="medium">
        <color rgb="FF000000"/>
      </right>
      <top/>
      <bottom style="medium">
        <color rgb="FFA5A5A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indexed="64"/>
      </right>
      <top style="medium">
        <color indexed="64"/>
      </top>
      <bottom style="thin">
        <color indexed="11"/>
      </bottom>
      <diagonal/>
    </border>
    <border>
      <left/>
      <right style="medium">
        <color indexed="64"/>
      </right>
      <top/>
      <bottom style="thin">
        <color indexed="1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11"/>
      </bottom>
      <diagonal/>
    </border>
    <border>
      <left style="medium">
        <color indexed="64"/>
      </left>
      <right/>
      <top style="thin">
        <color indexed="11"/>
      </top>
      <bottom style="thin">
        <color indexed="11"/>
      </bottom>
      <diagonal/>
    </border>
    <border>
      <left style="medium">
        <color indexed="64"/>
      </left>
      <right/>
      <top style="thin">
        <color indexed="1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2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9" fillId="3" borderId="3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NumberFormat="1" applyBorder="1">
      <alignment vertical="top" wrapText="1"/>
    </xf>
    <xf numFmtId="0" fontId="12" fillId="11" borderId="1" xfId="0" applyFont="1" applyFill="1" applyBorder="1" applyAlignment="1">
      <alignment horizontal="center" vertical="center"/>
    </xf>
    <xf numFmtId="0" fontId="11" fillId="8" borderId="2" xfId="0" applyNumberFormat="1" applyFont="1" applyFill="1" applyBorder="1" applyAlignment="1">
      <alignment horizontal="center" vertical="center"/>
    </xf>
    <xf numFmtId="0" fontId="24" fillId="5" borderId="34" xfId="0" applyNumberFormat="1" applyFont="1" applyFill="1" applyBorder="1" applyAlignment="1">
      <alignment horizontal="center" vertical="center"/>
    </xf>
    <xf numFmtId="49" fontId="9" fillId="3" borderId="33" xfId="0" applyNumberFormat="1" applyFont="1" applyFill="1" applyBorder="1" applyAlignment="1">
      <alignment horizontal="center" vertical="center"/>
    </xf>
    <xf numFmtId="49" fontId="9" fillId="3" borderId="32" xfId="0" applyNumberFormat="1" applyFont="1" applyFill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49" fontId="11" fillId="15" borderId="5" xfId="0" applyNumberFormat="1" applyFont="1" applyFill="1" applyBorder="1" applyAlignment="1">
      <alignment horizontal="center" vertical="center"/>
    </xf>
    <xf numFmtId="0" fontId="11" fillId="16" borderId="14" xfId="0" applyNumberFormat="1" applyFont="1" applyFill="1" applyBorder="1" applyAlignment="1">
      <alignment horizontal="center" vertical="center"/>
    </xf>
    <xf numFmtId="0" fontId="11" fillId="8" borderId="25" xfId="0" applyNumberFormat="1" applyFont="1" applyFill="1" applyBorder="1" applyAlignment="1">
      <alignment horizontal="center" vertical="center"/>
    </xf>
    <xf numFmtId="0" fontId="29" fillId="0" borderId="0" xfId="0" applyNumberFormat="1" applyFont="1" applyAlignment="1">
      <alignment horizontal="left" wrapText="1"/>
    </xf>
    <xf numFmtId="0" fontId="26" fillId="0" borderId="0" xfId="0" applyFont="1" applyAlignment="1">
      <alignment horizontal="center" vertical="center"/>
    </xf>
    <xf numFmtId="49" fontId="31" fillId="15" borderId="44" xfId="0" applyNumberFormat="1" applyFont="1" applyFill="1" applyBorder="1" applyAlignment="1">
      <alignment horizontal="center" vertical="center" wrapText="1"/>
    </xf>
    <xf numFmtId="0" fontId="33" fillId="0" borderId="0" xfId="0" applyNumberFormat="1" applyFont="1">
      <alignment vertical="top" wrapText="1"/>
    </xf>
    <xf numFmtId="0" fontId="0" fillId="0" borderId="2" xfId="0" applyNumberFormat="1" applyBorder="1" applyProtection="1">
      <alignment vertical="top" wrapText="1"/>
    </xf>
    <xf numFmtId="0" fontId="0" fillId="0" borderId="0" xfId="0" applyNumberFormat="1" applyProtection="1">
      <alignment vertical="top" wrapText="1"/>
    </xf>
    <xf numFmtId="49" fontId="19" fillId="0" borderId="2" xfId="0" applyNumberFormat="1" applyFont="1" applyFill="1" applyBorder="1" applyAlignment="1" applyProtection="1">
      <alignment horizontal="center" vertical="center" wrapText="1"/>
    </xf>
    <xf numFmtId="49" fontId="14" fillId="5" borderId="27" xfId="0" applyNumberFormat="1" applyFont="1" applyFill="1" applyBorder="1" applyAlignment="1" applyProtection="1">
      <alignment horizontal="center" vertical="center"/>
    </xf>
    <xf numFmtId="49" fontId="14" fillId="5" borderId="41" xfId="0" applyNumberFormat="1" applyFont="1" applyFill="1" applyBorder="1" applyAlignment="1" applyProtection="1">
      <alignment horizontal="center" vertical="center"/>
    </xf>
    <xf numFmtId="49" fontId="14" fillId="6" borderId="43" xfId="0" applyNumberFormat="1" applyFont="1" applyFill="1" applyBorder="1" applyAlignment="1" applyProtection="1">
      <alignment horizontal="center" vertical="center"/>
    </xf>
    <xf numFmtId="49" fontId="17" fillId="0" borderId="43" xfId="0" applyNumberFormat="1" applyFont="1" applyFill="1" applyBorder="1" applyAlignment="1" applyProtection="1">
      <alignment horizontal="center" vertical="center"/>
    </xf>
    <xf numFmtId="49" fontId="17" fillId="15" borderId="42" xfId="0" applyNumberFormat="1" applyFont="1" applyFill="1" applyBorder="1" applyAlignment="1" applyProtection="1">
      <alignment horizontal="center" vertical="center"/>
    </xf>
    <xf numFmtId="49" fontId="20" fillId="0" borderId="19" xfId="0" applyNumberFormat="1" applyFont="1" applyFill="1" applyBorder="1" applyAlignment="1" applyProtection="1">
      <alignment horizontal="center" vertical="center"/>
    </xf>
    <xf numFmtId="49" fontId="14" fillId="6" borderId="28" xfId="0" applyNumberFormat="1" applyFont="1" applyFill="1" applyBorder="1" applyAlignment="1" applyProtection="1">
      <alignment horizontal="center" vertical="center"/>
    </xf>
    <xf numFmtId="49" fontId="14" fillId="5" borderId="56" xfId="0" applyNumberFormat="1" applyFont="1" applyFill="1" applyBorder="1" applyAlignment="1" applyProtection="1">
      <alignment horizontal="center" vertical="center"/>
    </xf>
    <xf numFmtId="49" fontId="14" fillId="6" borderId="57" xfId="0" applyNumberFormat="1" applyFont="1" applyFill="1" applyBorder="1" applyAlignment="1" applyProtection="1">
      <alignment horizontal="center" vertical="center"/>
    </xf>
    <xf numFmtId="49" fontId="14" fillId="6" borderId="56" xfId="0" applyNumberFormat="1" applyFont="1" applyFill="1" applyBorder="1" applyAlignment="1" applyProtection="1">
      <alignment horizontal="center" vertical="center"/>
    </xf>
    <xf numFmtId="49" fontId="17" fillId="7" borderId="57" xfId="0" applyNumberFormat="1" applyFont="1" applyFill="1" applyBorder="1" applyAlignment="1" applyProtection="1">
      <alignment horizontal="center" vertical="center"/>
    </xf>
    <xf numFmtId="49" fontId="17" fillId="0" borderId="57" xfId="0" applyNumberFormat="1" applyFont="1" applyFill="1" applyBorder="1" applyAlignment="1" applyProtection="1">
      <alignment horizontal="center" vertical="center"/>
    </xf>
    <xf numFmtId="49" fontId="32" fillId="15" borderId="15" xfId="0" applyNumberFormat="1" applyFont="1" applyFill="1" applyBorder="1" applyAlignment="1" applyProtection="1">
      <alignment horizontal="center" vertical="center"/>
    </xf>
    <xf numFmtId="49" fontId="32" fillId="15" borderId="13" xfId="0" applyNumberFormat="1" applyFont="1" applyFill="1" applyBorder="1" applyAlignment="1" applyProtection="1">
      <alignment horizontal="center" vertical="center"/>
    </xf>
    <xf numFmtId="49" fontId="20" fillId="0" borderId="2" xfId="0" applyNumberFormat="1" applyFont="1" applyFill="1" applyBorder="1" applyAlignment="1" applyProtection="1">
      <alignment horizontal="center" vertical="center"/>
    </xf>
    <xf numFmtId="0" fontId="6" fillId="4" borderId="45" xfId="0" applyFont="1" applyFill="1" applyBorder="1" applyAlignment="1" applyProtection="1">
      <alignment horizontal="center" vertical="center" wrapText="1"/>
    </xf>
    <xf numFmtId="0" fontId="6" fillId="4" borderId="49" xfId="0" applyFont="1" applyFill="1" applyBorder="1" applyAlignment="1" applyProtection="1">
      <alignment horizontal="center" vertical="center" wrapText="1"/>
    </xf>
    <xf numFmtId="0" fontId="6" fillId="4" borderId="47" xfId="0" applyFont="1" applyFill="1" applyBorder="1" applyAlignment="1" applyProtection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Protection="1">
      <alignment vertical="top" wrapText="1"/>
    </xf>
    <xf numFmtId="1" fontId="21" fillId="0" borderId="2" xfId="0" applyNumberFormat="1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48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26" xfId="0" applyFont="1" applyFill="1" applyBorder="1" applyAlignment="1" applyProtection="1">
      <alignment horizontal="center" vertical="center" wrapText="1"/>
    </xf>
    <xf numFmtId="0" fontId="6" fillId="4" borderId="60" xfId="0" applyFont="1" applyFill="1" applyBorder="1" applyAlignment="1" applyProtection="1">
      <alignment horizontal="center" vertical="center" wrapText="1"/>
    </xf>
    <xf numFmtId="0" fontId="8" fillId="4" borderId="58" xfId="0" applyFont="1" applyFill="1" applyBorder="1" applyAlignment="1" applyProtection="1">
      <alignment horizontal="center" vertical="center" wrapText="1"/>
    </xf>
    <xf numFmtId="0" fontId="6" fillId="4" borderId="51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</xf>
    <xf numFmtId="0" fontId="8" fillId="4" borderId="38" xfId="0" applyFont="1" applyFill="1" applyBorder="1" applyAlignment="1" applyProtection="1">
      <alignment horizontal="center" vertical="center" wrapText="1"/>
    </xf>
    <xf numFmtId="0" fontId="8" fillId="4" borderId="55" xfId="0" applyFont="1" applyFill="1" applyBorder="1" applyAlignment="1" applyProtection="1">
      <alignment horizontal="center" vertical="center" wrapText="1"/>
    </xf>
    <xf numFmtId="0" fontId="6" fillId="4" borderId="16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0" xfId="0" applyProtection="1">
      <alignment vertical="top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49" fontId="13" fillId="4" borderId="5" xfId="0" applyNumberFormat="1" applyFont="1" applyFill="1" applyBorder="1" applyAlignment="1" applyProtection="1">
      <alignment horizontal="center" vertical="center" wrapText="1"/>
    </xf>
    <xf numFmtId="49" fontId="17" fillId="15" borderId="29" xfId="0" applyNumberFormat="1" applyFont="1" applyFill="1" applyBorder="1" applyAlignment="1" applyProtection="1">
      <alignment horizontal="center" vertical="center"/>
    </xf>
    <xf numFmtId="49" fontId="17" fillId="13" borderId="29" xfId="0" applyNumberFormat="1" applyFont="1" applyFill="1" applyBorder="1" applyAlignment="1" applyProtection="1">
      <alignment horizontal="center" vertical="center"/>
    </xf>
    <xf numFmtId="49" fontId="8" fillId="0" borderId="13" xfId="0" applyNumberFormat="1" applyFont="1" applyBorder="1" applyAlignment="1" applyProtection="1">
      <alignment horizontal="center" vertical="center" wrapText="1"/>
    </xf>
    <xf numFmtId="49" fontId="17" fillId="12" borderId="29" xfId="0" applyNumberFormat="1" applyFont="1" applyFill="1" applyBorder="1" applyAlignment="1" applyProtection="1">
      <alignment horizontal="center" vertical="center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0" fontId="27" fillId="4" borderId="24" xfId="0" applyNumberFormat="1" applyFont="1" applyFill="1" applyBorder="1" applyAlignment="1" applyProtection="1">
      <alignment horizontal="center" vertical="center" wrapText="1"/>
    </xf>
    <xf numFmtId="0" fontId="2" fillId="17" borderId="24" xfId="0" applyNumberFormat="1" applyFont="1" applyFill="1" applyBorder="1" applyAlignment="1" applyProtection="1">
      <alignment horizontal="center" vertical="center" wrapText="1"/>
    </xf>
    <xf numFmtId="0" fontId="2" fillId="16" borderId="24" xfId="0" applyNumberFormat="1" applyFont="1" applyFill="1" applyBorder="1" applyAlignment="1" applyProtection="1">
      <alignment horizontal="center" vertical="center" wrapText="1"/>
    </xf>
    <xf numFmtId="2" fontId="22" fillId="0" borderId="13" xfId="0" applyNumberFormat="1" applyFont="1" applyFill="1" applyBorder="1" applyAlignment="1" applyProtection="1">
      <alignment horizontal="center" vertical="center" wrapText="1"/>
    </xf>
    <xf numFmtId="1" fontId="15" fillId="8" borderId="5" xfId="0" applyNumberFormat="1" applyFont="1" applyFill="1" applyBorder="1" applyAlignment="1" applyProtection="1">
      <alignment horizontal="center" vertical="center" wrapText="1"/>
    </xf>
    <xf numFmtId="1" fontId="7" fillId="9" borderId="5" xfId="0" applyNumberFormat="1" applyFont="1" applyFill="1" applyBorder="1" applyAlignment="1" applyProtection="1">
      <alignment horizontal="center" vertical="center" wrapText="1"/>
    </xf>
    <xf numFmtId="1" fontId="16" fillId="14" borderId="5" xfId="0" applyNumberFormat="1" applyFont="1" applyFill="1" applyBorder="1" applyAlignment="1" applyProtection="1">
      <alignment horizontal="center" vertical="center" wrapText="1"/>
    </xf>
    <xf numFmtId="49" fontId="2" fillId="4" borderId="23" xfId="0" applyNumberFormat="1" applyFont="1" applyFill="1" applyBorder="1" applyAlignment="1" applyProtection="1">
      <alignment horizontal="center" vertical="center" wrapText="1"/>
    </xf>
    <xf numFmtId="0" fontId="2" fillId="16" borderId="18" xfId="0" applyNumberFormat="1" applyFont="1" applyFill="1" applyBorder="1" applyAlignment="1" applyProtection="1">
      <alignment horizontal="center" vertical="center" wrapText="1"/>
    </xf>
    <xf numFmtId="2" fontId="22" fillId="0" borderId="5" xfId="0" applyNumberFormat="1" applyFont="1" applyFill="1" applyBorder="1" applyAlignment="1" applyProtection="1">
      <alignment horizontal="center" vertical="center" wrapText="1"/>
    </xf>
    <xf numFmtId="1" fontId="15" fillId="8" borderId="23" xfId="0" applyNumberFormat="1" applyFont="1" applyFill="1" applyBorder="1" applyAlignment="1" applyProtection="1">
      <alignment horizontal="center" vertical="center" wrapText="1"/>
    </xf>
    <xf numFmtId="1" fontId="7" fillId="9" borderId="23" xfId="0" applyNumberFormat="1" applyFont="1" applyFill="1" applyBorder="1" applyAlignment="1" applyProtection="1">
      <alignment horizontal="center" vertical="center" wrapText="1"/>
    </xf>
    <xf numFmtId="1" fontId="16" fillId="14" borderId="23" xfId="0" applyNumberFormat="1" applyFont="1" applyFill="1" applyBorder="1" applyAlignment="1" applyProtection="1">
      <alignment horizontal="center" vertical="center" wrapText="1"/>
    </xf>
    <xf numFmtId="49" fontId="2" fillId="4" borderId="14" xfId="0" applyNumberFormat="1" applyFont="1" applyFill="1" applyBorder="1" applyAlignment="1" applyProtection="1">
      <alignment horizontal="center" vertical="center" wrapText="1"/>
    </xf>
    <xf numFmtId="0" fontId="2" fillId="16" borderId="16" xfId="0" applyNumberFormat="1" applyFont="1" applyFill="1" applyBorder="1" applyAlignment="1" applyProtection="1">
      <alignment horizontal="center" vertical="center" wrapText="1"/>
    </xf>
    <xf numFmtId="2" fontId="22" fillId="0" borderId="14" xfId="0" applyNumberFormat="1" applyFont="1" applyFill="1" applyBorder="1" applyAlignment="1" applyProtection="1">
      <alignment horizontal="center" vertical="center" wrapText="1"/>
    </xf>
    <xf numFmtId="1" fontId="15" fillId="8" borderId="14" xfId="0" applyNumberFormat="1" applyFont="1" applyFill="1" applyBorder="1" applyAlignment="1" applyProtection="1">
      <alignment horizontal="center" vertical="center" wrapText="1"/>
    </xf>
    <xf numFmtId="1" fontId="7" fillId="9" borderId="14" xfId="0" applyNumberFormat="1" applyFont="1" applyFill="1" applyBorder="1" applyAlignment="1" applyProtection="1">
      <alignment horizontal="center" vertical="center" wrapText="1"/>
    </xf>
    <xf numFmtId="1" fontId="16" fillId="14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Border="1" applyProtection="1">
      <alignment vertical="top" wrapText="1"/>
    </xf>
    <xf numFmtId="0" fontId="28" fillId="4" borderId="5" xfId="0" applyNumberFormat="1" applyFont="1" applyFill="1" applyBorder="1" applyAlignment="1" applyProtection="1">
      <alignment horizontal="center" vertical="top" wrapText="1"/>
    </xf>
    <xf numFmtId="0" fontId="29" fillId="0" borderId="24" xfId="0" applyNumberFormat="1" applyFont="1" applyBorder="1" applyAlignment="1" applyProtection="1">
      <alignment horizontal="right" vertical="center" wrapText="1"/>
    </xf>
    <xf numFmtId="49" fontId="17" fillId="15" borderId="5" xfId="0" applyNumberFormat="1" applyFont="1" applyFill="1" applyBorder="1" applyAlignment="1" applyProtection="1">
      <alignment horizontal="center" vertical="center"/>
    </xf>
    <xf numFmtId="0" fontId="27" fillId="4" borderId="24" xfId="0" applyNumberFormat="1" applyFont="1" applyFill="1" applyBorder="1" applyAlignment="1" applyProtection="1">
      <alignment horizontal="center" vertical="center"/>
    </xf>
    <xf numFmtId="1" fontId="27" fillId="4" borderId="25" xfId="0" applyNumberFormat="1" applyFont="1" applyFill="1" applyBorder="1" applyAlignment="1" applyProtection="1">
      <alignment horizontal="center" vertical="center"/>
    </xf>
    <xf numFmtId="0" fontId="8" fillId="4" borderId="41" xfId="0" applyFont="1" applyFill="1" applyBorder="1" applyAlignment="1" applyProtection="1">
      <alignment horizontal="center" vertical="center" wrapText="1"/>
    </xf>
    <xf numFmtId="0" fontId="8" fillId="4" borderId="43" xfId="0" applyFont="1" applyFill="1" applyBorder="1" applyAlignment="1" applyProtection="1">
      <alignment horizontal="center" vertical="center" wrapText="1"/>
    </xf>
    <xf numFmtId="0" fontId="8" fillId="4" borderId="25" xfId="0" applyFont="1" applyFill="1" applyBorder="1" applyAlignment="1" applyProtection="1">
      <alignment horizontal="center" vertical="center" wrapText="1"/>
    </xf>
    <xf numFmtId="49" fontId="14" fillId="5" borderId="65" xfId="0" applyNumberFormat="1" applyFont="1" applyFill="1" applyBorder="1" applyAlignment="1" applyProtection="1">
      <alignment horizontal="center" vertical="center"/>
    </xf>
    <xf numFmtId="49" fontId="14" fillId="6" borderId="61" xfId="0" applyNumberFormat="1" applyFont="1" applyFill="1" applyBorder="1" applyAlignment="1" applyProtection="1">
      <alignment horizontal="center" vertical="center"/>
    </xf>
    <xf numFmtId="49" fontId="17" fillId="0" borderId="61" xfId="0" applyNumberFormat="1" applyFont="1" applyFill="1" applyBorder="1" applyAlignment="1" applyProtection="1">
      <alignment horizontal="center" vertical="center"/>
    </xf>
    <xf numFmtId="49" fontId="17" fillId="15" borderId="66" xfId="0" applyNumberFormat="1" applyFont="1" applyFill="1" applyBorder="1" applyAlignment="1" applyProtection="1">
      <alignment horizontal="center" vertical="center"/>
    </xf>
    <xf numFmtId="0" fontId="34" fillId="17" borderId="5" xfId="0" applyFont="1" applyFill="1" applyBorder="1" applyAlignment="1" applyProtection="1">
      <alignment horizontal="center" vertical="center" wrapText="1"/>
      <protection locked="0"/>
    </xf>
    <xf numFmtId="0" fontId="36" fillId="20" borderId="68" xfId="0" applyFont="1" applyFill="1" applyBorder="1" applyAlignment="1" applyProtection="1">
      <alignment horizontal="center" vertical="center" wrapText="1"/>
      <protection locked="0"/>
    </xf>
    <xf numFmtId="0" fontId="16" fillId="21" borderId="68" xfId="0" applyFont="1" applyFill="1" applyBorder="1" applyAlignment="1" applyProtection="1">
      <alignment horizontal="center" vertical="center" wrapText="1"/>
      <protection locked="0"/>
    </xf>
    <xf numFmtId="0" fontId="36" fillId="20" borderId="69" xfId="0" applyFont="1" applyFill="1" applyBorder="1" applyAlignment="1" applyProtection="1">
      <alignment horizontal="center" vertical="center" wrapText="1"/>
      <protection locked="0"/>
    </xf>
    <xf numFmtId="0" fontId="16" fillId="21" borderId="69" xfId="0" applyFont="1" applyFill="1" applyBorder="1" applyAlignment="1" applyProtection="1">
      <alignment horizontal="center" vertical="center" wrapText="1"/>
      <protection locked="0"/>
    </xf>
    <xf numFmtId="0" fontId="36" fillId="20" borderId="71" xfId="0" applyFont="1" applyFill="1" applyBorder="1" applyAlignment="1" applyProtection="1">
      <alignment horizontal="center" vertical="center" wrapText="1"/>
      <protection locked="0"/>
    </xf>
    <xf numFmtId="0" fontId="16" fillId="21" borderId="71" xfId="0" applyFont="1" applyFill="1" applyBorder="1" applyAlignment="1" applyProtection="1">
      <alignment horizontal="center" vertical="center" wrapText="1"/>
      <protection locked="0"/>
    </xf>
    <xf numFmtId="0" fontId="36" fillId="20" borderId="70" xfId="0" applyFont="1" applyFill="1" applyBorder="1" applyAlignment="1" applyProtection="1">
      <alignment horizontal="center" vertical="center" wrapText="1"/>
      <protection locked="0"/>
    </xf>
    <xf numFmtId="0" fontId="16" fillId="21" borderId="70" xfId="0" applyFont="1" applyFill="1" applyBorder="1" applyAlignment="1" applyProtection="1">
      <alignment horizontal="center" vertical="center" wrapText="1"/>
      <protection locked="0"/>
    </xf>
    <xf numFmtId="1" fontId="15" fillId="4" borderId="41" xfId="0" applyNumberFormat="1" applyFont="1" applyFill="1" applyBorder="1" applyAlignment="1" applyProtection="1">
      <alignment horizontal="center" vertical="center" wrapText="1"/>
    </xf>
    <xf numFmtId="1" fontId="7" fillId="4" borderId="43" xfId="0" applyNumberFormat="1" applyFont="1" applyFill="1" applyBorder="1" applyAlignment="1" applyProtection="1">
      <alignment horizontal="center" vertical="center" wrapText="1"/>
    </xf>
    <xf numFmtId="1" fontId="16" fillId="4" borderId="42" xfId="0" applyNumberFormat="1" applyFont="1" applyFill="1" applyBorder="1" applyAlignment="1" applyProtection="1">
      <alignment horizontal="center" vertical="center" wrapText="1"/>
    </xf>
    <xf numFmtId="1" fontId="15" fillId="8" borderId="72" xfId="0" applyNumberFormat="1" applyFont="1" applyFill="1" applyBorder="1" applyAlignment="1" applyProtection="1">
      <alignment horizontal="center" vertical="center" wrapText="1"/>
      <protection locked="0"/>
    </xf>
    <xf numFmtId="1" fontId="15" fillId="8" borderId="73" xfId="0" applyNumberFormat="1" applyFont="1" applyFill="1" applyBorder="1" applyAlignment="1" applyProtection="1">
      <alignment horizontal="center" vertical="center" wrapText="1"/>
      <protection locked="0"/>
    </xf>
    <xf numFmtId="1" fontId="15" fillId="8" borderId="2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0" fontId="4" fillId="4" borderId="65" xfId="0" applyNumberFormat="1" applyFont="1" applyFill="1" applyBorder="1" applyAlignment="1" applyProtection="1">
      <alignment horizontal="center" vertical="center" wrapText="1"/>
    </xf>
    <xf numFmtId="0" fontId="29" fillId="0" borderId="15" xfId="0" applyFont="1" applyBorder="1" applyAlignment="1" applyProtection="1">
      <alignment vertical="center" wrapText="1"/>
      <protection locked="0"/>
    </xf>
    <xf numFmtId="1" fontId="15" fillId="8" borderId="13" xfId="0" applyNumberFormat="1" applyFont="1" applyFill="1" applyBorder="1" applyAlignment="1" applyProtection="1">
      <alignment horizontal="center" vertical="center" wrapText="1"/>
      <protection locked="0"/>
    </xf>
    <xf numFmtId="1" fontId="7" fillId="9" borderId="13" xfId="0" applyNumberFormat="1" applyFont="1" applyFill="1" applyBorder="1" applyAlignment="1" applyProtection="1">
      <alignment horizontal="center" vertical="center" wrapText="1"/>
      <protection locked="0"/>
    </xf>
    <xf numFmtId="1" fontId="16" fillId="18" borderId="15" xfId="0" applyNumberFormat="1" applyFont="1" applyFill="1" applyBorder="1" applyAlignment="1" applyProtection="1">
      <alignment horizontal="center" vertical="center" wrapText="1"/>
      <protection locked="0"/>
    </xf>
    <xf numFmtId="0" fontId="34" fillId="17" borderId="13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50" xfId="0" applyFont="1" applyFill="1" applyBorder="1" applyAlignment="1" applyProtection="1">
      <alignment horizontal="center" vertical="center" wrapText="1"/>
    </xf>
    <xf numFmtId="49" fontId="5" fillId="0" borderId="6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75" xfId="0" applyNumberFormat="1" applyFont="1" applyFill="1" applyBorder="1" applyAlignment="1" applyProtection="1">
      <alignment horizontal="center" vertical="center" wrapText="1"/>
    </xf>
    <xf numFmtId="0" fontId="4" fillId="4" borderId="76" xfId="0" applyNumberFormat="1" applyFont="1" applyFill="1" applyBorder="1" applyAlignment="1" applyProtection="1">
      <alignment horizontal="center" vertical="center" wrapText="1"/>
    </xf>
    <xf numFmtId="0" fontId="4" fillId="4" borderId="77" xfId="0" applyNumberFormat="1" applyFont="1" applyFill="1" applyBorder="1" applyAlignment="1" applyProtection="1">
      <alignment horizontal="center" vertical="center" wrapText="1"/>
    </xf>
    <xf numFmtId="0" fontId="29" fillId="0" borderId="59" xfId="0" applyFont="1" applyBorder="1" applyAlignment="1" applyProtection="1">
      <alignment vertical="center" wrapText="1"/>
      <protection locked="0"/>
    </xf>
    <xf numFmtId="0" fontId="29" fillId="0" borderId="11" xfId="0" applyFont="1" applyBorder="1" applyAlignment="1" applyProtection="1">
      <alignment vertical="center" wrapText="1"/>
      <protection locked="0"/>
    </xf>
    <xf numFmtId="0" fontId="29" fillId="0" borderId="1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9" fontId="14" fillId="6" borderId="19" xfId="0" applyNumberFormat="1" applyFont="1" applyFill="1" applyBorder="1" applyAlignment="1" applyProtection="1">
      <alignment horizontal="center" vertical="center"/>
    </xf>
    <xf numFmtId="0" fontId="0" fillId="4" borderId="66" xfId="0" applyFill="1" applyBorder="1" applyAlignment="1" applyProtection="1">
      <alignment vertical="center" wrapText="1"/>
    </xf>
    <xf numFmtId="0" fontId="27" fillId="4" borderId="36" xfId="0" applyNumberFormat="1" applyFont="1" applyFill="1" applyBorder="1" applyAlignment="1" applyProtection="1">
      <alignment horizontal="center" vertical="center"/>
    </xf>
    <xf numFmtId="0" fontId="0" fillId="0" borderId="17" xfId="0" applyNumberFormat="1" applyBorder="1" applyAlignment="1" applyProtection="1">
      <alignment vertical="center" wrapText="1"/>
    </xf>
    <xf numFmtId="0" fontId="0" fillId="0" borderId="2" xfId="0" applyBorder="1" applyProtection="1">
      <alignment vertical="top" wrapText="1"/>
    </xf>
    <xf numFmtId="49" fontId="14" fillId="5" borderId="24" xfId="0" applyNumberFormat="1" applyFont="1" applyFill="1" applyBorder="1" applyAlignment="1" applyProtection="1">
      <alignment horizontal="center" vertical="center"/>
    </xf>
    <xf numFmtId="49" fontId="14" fillId="5" borderId="25" xfId="0" applyNumberFormat="1" applyFont="1" applyFill="1" applyBorder="1" applyAlignment="1" applyProtection="1">
      <alignment horizontal="center" vertical="center"/>
    </xf>
    <xf numFmtId="49" fontId="17" fillId="12" borderId="24" xfId="0" applyNumberFormat="1" applyFont="1" applyFill="1" applyBorder="1" applyAlignment="1" applyProtection="1">
      <alignment horizontal="center" vertical="center"/>
    </xf>
    <xf numFmtId="49" fontId="17" fillId="12" borderId="25" xfId="0" applyNumberFormat="1" applyFont="1" applyFill="1" applyBorder="1" applyAlignment="1" applyProtection="1">
      <alignment horizontal="center" vertical="center"/>
    </xf>
    <xf numFmtId="49" fontId="14" fillId="6" borderId="18" xfId="0" applyNumberFormat="1" applyFont="1" applyFill="1" applyBorder="1" applyAlignment="1" applyProtection="1">
      <alignment horizontal="center" vertical="center"/>
    </xf>
    <xf numFmtId="49" fontId="11" fillId="13" borderId="24" xfId="0" applyNumberFormat="1" applyFont="1" applyFill="1" applyBorder="1" applyAlignment="1">
      <alignment horizontal="center" vertical="center"/>
    </xf>
    <xf numFmtId="0" fontId="11" fillId="0" borderId="78" xfId="0" applyNumberFormat="1" applyFont="1" applyBorder="1" applyAlignment="1">
      <alignment horizontal="center" vertical="center"/>
    </xf>
    <xf numFmtId="0" fontId="11" fillId="0" borderId="79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8" borderId="38" xfId="0" applyNumberFormat="1" applyFont="1" applyFill="1" applyBorder="1" applyAlignment="1">
      <alignment horizontal="center" vertical="center"/>
    </xf>
    <xf numFmtId="0" fontId="11" fillId="9" borderId="38" xfId="0" applyNumberFormat="1" applyFont="1" applyFill="1" applyBorder="1" applyAlignment="1">
      <alignment horizontal="center" vertical="center"/>
    </xf>
    <xf numFmtId="0" fontId="11" fillId="18" borderId="38" xfId="0" applyNumberFormat="1" applyFont="1" applyFill="1" applyBorder="1" applyAlignment="1">
      <alignment horizontal="center" vertical="center"/>
    </xf>
    <xf numFmtId="0" fontId="11" fillId="14" borderId="38" xfId="0" applyNumberFormat="1" applyFont="1" applyFill="1" applyBorder="1" applyAlignment="1">
      <alignment horizontal="center" vertical="center"/>
    </xf>
    <xf numFmtId="49" fontId="30" fillId="5" borderId="59" xfId="0" applyNumberFormat="1" applyFont="1" applyFill="1" applyBorder="1" applyAlignment="1">
      <alignment horizontal="center" vertical="center" wrapText="1"/>
    </xf>
    <xf numFmtId="49" fontId="30" fillId="5" borderId="44" xfId="0" applyNumberFormat="1" applyFont="1" applyFill="1" applyBorder="1" applyAlignment="1">
      <alignment horizontal="center" vertical="center" wrapText="1"/>
    </xf>
    <xf numFmtId="49" fontId="30" fillId="6" borderId="44" xfId="0" applyNumberFormat="1" applyFont="1" applyFill="1" applyBorder="1" applyAlignment="1">
      <alignment horizontal="center" vertical="center" wrapText="1"/>
    </xf>
    <xf numFmtId="49" fontId="31" fillId="7" borderId="44" xfId="0" applyNumberFormat="1" applyFont="1" applyFill="1" applyBorder="1" applyAlignment="1">
      <alignment horizontal="center" vertical="center" wrapText="1"/>
    </xf>
    <xf numFmtId="0" fontId="11" fillId="8" borderId="11" xfId="0" applyNumberFormat="1" applyFont="1" applyFill="1" applyBorder="1" applyAlignment="1">
      <alignment horizontal="center" vertical="center"/>
    </xf>
    <xf numFmtId="49" fontId="30" fillId="22" borderId="44" xfId="0" applyNumberFormat="1" applyFont="1" applyFill="1" applyBorder="1" applyAlignment="1">
      <alignment horizontal="center" vertical="center" wrapText="1"/>
    </xf>
    <xf numFmtId="49" fontId="30" fillId="22" borderId="81" xfId="0" applyNumberFormat="1" applyFont="1" applyFill="1" applyBorder="1" applyAlignment="1">
      <alignment horizontal="center" vertical="center" wrapText="1"/>
    </xf>
    <xf numFmtId="0" fontId="11" fillId="23" borderId="38" xfId="0" applyNumberFormat="1" applyFont="1" applyFill="1" applyBorder="1" applyAlignment="1">
      <alignment horizontal="center" vertical="center"/>
    </xf>
    <xf numFmtId="0" fontId="11" fillId="23" borderId="53" xfId="0" applyNumberFormat="1" applyFont="1" applyFill="1" applyBorder="1" applyAlignment="1">
      <alignment horizontal="center" vertical="center"/>
    </xf>
    <xf numFmtId="0" fontId="11" fillId="23" borderId="30" xfId="0" applyNumberFormat="1" applyFont="1" applyFill="1" applyBorder="1" applyAlignment="1">
      <alignment horizontal="center" vertical="center"/>
    </xf>
    <xf numFmtId="0" fontId="0" fillId="0" borderId="38" xfId="0" applyNumberFormat="1" applyBorder="1">
      <alignment vertical="top" wrapText="1"/>
    </xf>
    <xf numFmtId="0" fontId="0" fillId="0" borderId="11" xfId="0" applyNumberFormat="1" applyBorder="1">
      <alignment vertical="top" wrapText="1"/>
    </xf>
    <xf numFmtId="0" fontId="0" fillId="0" borderId="53" xfId="0" applyNumberFormat="1" applyBorder="1">
      <alignment vertical="top" wrapText="1"/>
    </xf>
    <xf numFmtId="0" fontId="11" fillId="8" borderId="12" xfId="0" applyNumberFormat="1" applyFont="1" applyFill="1" applyBorder="1" applyAlignment="1">
      <alignment horizontal="center" vertical="center"/>
    </xf>
    <xf numFmtId="0" fontId="11" fillId="8" borderId="39" xfId="0" applyNumberFormat="1" applyFont="1" applyFill="1" applyBorder="1" applyAlignment="1">
      <alignment horizontal="center" vertical="center"/>
    </xf>
    <xf numFmtId="0" fontId="11" fillId="9" borderId="39" xfId="0" applyNumberFormat="1" applyFont="1" applyFill="1" applyBorder="1" applyAlignment="1">
      <alignment horizontal="center" vertical="center"/>
    </xf>
    <xf numFmtId="0" fontId="11" fillId="18" borderId="39" xfId="0" applyNumberFormat="1" applyFont="1" applyFill="1" applyBorder="1" applyAlignment="1">
      <alignment horizontal="center" vertical="center"/>
    </xf>
    <xf numFmtId="0" fontId="11" fillId="14" borderId="39" xfId="0" applyNumberFormat="1" applyFont="1" applyFill="1" applyBorder="1" applyAlignment="1">
      <alignment horizontal="center" vertical="center"/>
    </xf>
    <xf numFmtId="0" fontId="11" fillId="8" borderId="9" xfId="0" applyNumberFormat="1" applyFont="1" applyFill="1" applyBorder="1" applyAlignment="1">
      <alignment horizontal="center" vertical="center"/>
    </xf>
    <xf numFmtId="0" fontId="11" fillId="8" borderId="50" xfId="0" applyNumberFormat="1" applyFont="1" applyFill="1" applyBorder="1" applyAlignment="1">
      <alignment horizontal="center" vertical="center"/>
    </xf>
    <xf numFmtId="0" fontId="11" fillId="9" borderId="50" xfId="0" applyNumberFormat="1" applyFont="1" applyFill="1" applyBorder="1" applyAlignment="1">
      <alignment horizontal="center" vertical="center"/>
    </xf>
    <xf numFmtId="0" fontId="11" fillId="18" borderId="50" xfId="0" applyNumberFormat="1" applyFont="1" applyFill="1" applyBorder="1" applyAlignment="1">
      <alignment horizontal="center" vertical="center"/>
    </xf>
    <xf numFmtId="0" fontId="11" fillId="14" borderId="50" xfId="0" applyNumberFormat="1" applyFont="1" applyFill="1" applyBorder="1" applyAlignment="1">
      <alignment horizontal="center" vertical="center"/>
    </xf>
    <xf numFmtId="0" fontId="11" fillId="23" borderId="50" xfId="0" applyNumberFormat="1" applyFont="1" applyFill="1" applyBorder="1" applyAlignment="1">
      <alignment horizontal="center" vertical="center"/>
    </xf>
    <xf numFmtId="0" fontId="11" fillId="23" borderId="48" xfId="0" applyNumberFormat="1" applyFont="1" applyFill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11" fillId="0" borderId="54" xfId="0" applyNumberFormat="1" applyFont="1" applyBorder="1" applyAlignment="1">
      <alignment horizontal="center" vertical="center"/>
    </xf>
    <xf numFmtId="0" fontId="11" fillId="23" borderId="39" xfId="0" applyNumberFormat="1" applyFont="1" applyFill="1" applyBorder="1" applyAlignment="1">
      <alignment horizontal="center" vertical="center"/>
    </xf>
    <xf numFmtId="0" fontId="11" fillId="23" borderId="54" xfId="0" applyNumberFormat="1" applyFont="1" applyFill="1" applyBorder="1" applyAlignment="1">
      <alignment horizontal="center" vertical="center"/>
    </xf>
    <xf numFmtId="0" fontId="37" fillId="17" borderId="40" xfId="0" applyFont="1" applyFill="1" applyBorder="1" applyAlignment="1" applyProtection="1">
      <alignment horizontal="center" vertical="center" wrapText="1"/>
      <protection locked="0"/>
    </xf>
    <xf numFmtId="0" fontId="37" fillId="17" borderId="63" xfId="0" applyFont="1" applyFill="1" applyBorder="1" applyAlignment="1" applyProtection="1">
      <alignment horizontal="center" vertical="center" wrapText="1"/>
      <protection locked="0"/>
    </xf>
    <xf numFmtId="0" fontId="37" fillId="17" borderId="64" xfId="0" applyFont="1" applyFill="1" applyBorder="1" applyAlignment="1" applyProtection="1">
      <alignment horizontal="center" vertical="center" wrapText="1"/>
      <protection locked="0"/>
    </xf>
    <xf numFmtId="0" fontId="15" fillId="19" borderId="68" xfId="0" applyFont="1" applyFill="1" applyBorder="1" applyAlignment="1" applyProtection="1">
      <alignment horizontal="center" vertical="center" wrapText="1"/>
      <protection locked="0"/>
    </xf>
    <xf numFmtId="0" fontId="15" fillId="19" borderId="69" xfId="0" applyFont="1" applyFill="1" applyBorder="1" applyAlignment="1" applyProtection="1">
      <alignment horizontal="center" vertical="center" wrapText="1"/>
      <protection locked="0"/>
    </xf>
    <xf numFmtId="0" fontId="15" fillId="19" borderId="71" xfId="0" applyFont="1" applyFill="1" applyBorder="1" applyAlignment="1" applyProtection="1">
      <alignment horizontal="center" vertical="center" wrapText="1"/>
      <protection locked="0"/>
    </xf>
    <xf numFmtId="49" fontId="5" fillId="4" borderId="84" xfId="0" applyNumberFormat="1" applyFont="1" applyFill="1" applyBorder="1" applyAlignment="1" applyProtection="1">
      <alignment horizontal="center" vertical="center" wrapText="1"/>
    </xf>
    <xf numFmtId="0" fontId="0" fillId="0" borderId="38" xfId="0" applyBorder="1" applyAlignment="1" applyProtection="1">
      <alignment vertical="center" wrapText="1"/>
      <protection locked="0"/>
    </xf>
    <xf numFmtId="0" fontId="4" fillId="4" borderId="59" xfId="0" applyNumberFormat="1" applyFont="1" applyFill="1" applyBorder="1" applyAlignment="1" applyProtection="1">
      <alignment horizontal="center" vertical="center" wrapText="1"/>
    </xf>
    <xf numFmtId="0" fontId="29" fillId="0" borderId="44" xfId="0" applyFont="1" applyBorder="1" applyAlignment="1" applyProtection="1">
      <alignment vertical="center" wrapText="1"/>
      <protection locked="0"/>
    </xf>
    <xf numFmtId="49" fontId="5" fillId="0" borderId="81" xfId="0" applyNumberFormat="1" applyFont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</xf>
    <xf numFmtId="49" fontId="5" fillId="0" borderId="53" xfId="0" applyNumberFormat="1" applyFont="1" applyBorder="1" applyAlignment="1" applyProtection="1">
      <alignment horizontal="center" vertical="center" wrapText="1"/>
      <protection locked="0"/>
    </xf>
    <xf numFmtId="0" fontId="4" fillId="4" borderId="12" xfId="0" applyNumberFormat="1" applyFont="1" applyFill="1" applyBorder="1" applyAlignment="1" applyProtection="1">
      <alignment horizontal="center" vertical="center" wrapText="1"/>
    </xf>
    <xf numFmtId="0" fontId="0" fillId="0" borderId="39" xfId="0" applyBorder="1" applyAlignment="1" applyProtection="1">
      <alignment vertical="center" wrapText="1"/>
      <protection locked="0"/>
    </xf>
    <xf numFmtId="49" fontId="5" fillId="0" borderId="54" xfId="0" applyNumberFormat="1" applyFont="1" applyBorder="1" applyAlignment="1" applyProtection="1">
      <alignment horizontal="center" vertical="center" wrapText="1"/>
      <protection locked="0"/>
    </xf>
    <xf numFmtId="0" fontId="38" fillId="23" borderId="5" xfId="0" applyFont="1" applyFill="1" applyBorder="1" applyAlignment="1" applyProtection="1">
      <alignment horizontal="center" vertical="center" wrapText="1"/>
      <protection locked="0"/>
    </xf>
    <xf numFmtId="0" fontId="38" fillId="23" borderId="40" xfId="0" applyFont="1" applyFill="1" applyBorder="1" applyAlignment="1" applyProtection="1">
      <alignment horizontal="center" vertical="center" wrapText="1"/>
      <protection locked="0"/>
    </xf>
    <xf numFmtId="0" fontId="38" fillId="23" borderId="63" xfId="0" applyFont="1" applyFill="1" applyBorder="1" applyAlignment="1" applyProtection="1">
      <alignment horizontal="center" vertical="center" wrapText="1"/>
      <protection locked="0"/>
    </xf>
    <xf numFmtId="0" fontId="38" fillId="23" borderId="64" xfId="0" applyFont="1" applyFill="1" applyBorder="1" applyAlignment="1" applyProtection="1">
      <alignment horizontal="center" vertical="center" wrapText="1"/>
      <protection locked="0"/>
    </xf>
    <xf numFmtId="49" fontId="39" fillId="22" borderId="15" xfId="0" applyNumberFormat="1" applyFont="1" applyFill="1" applyBorder="1" applyAlignment="1" applyProtection="1">
      <alignment horizontal="center" vertical="center"/>
    </xf>
    <xf numFmtId="49" fontId="2" fillId="2" borderId="27" xfId="0" applyNumberFormat="1" applyFont="1" applyFill="1" applyBorder="1" applyAlignment="1" applyProtection="1">
      <alignment horizontal="center" vertical="center" wrapText="1"/>
    </xf>
    <xf numFmtId="49" fontId="2" fillId="2" borderId="85" xfId="0" applyNumberFormat="1" applyFont="1" applyFill="1" applyBorder="1" applyAlignment="1" applyProtection="1">
      <alignment horizontal="center" vertical="center" wrapText="1"/>
    </xf>
    <xf numFmtId="49" fontId="2" fillId="2" borderId="29" xfId="0" applyNumberFormat="1" applyFont="1" applyFill="1" applyBorder="1" applyAlignment="1" applyProtection="1">
      <alignment horizontal="center" vertical="center" wrapText="1"/>
    </xf>
    <xf numFmtId="49" fontId="2" fillId="2" borderId="86" xfId="0" applyNumberFormat="1" applyFont="1" applyFill="1" applyBorder="1" applyAlignment="1" applyProtection="1">
      <alignment horizontal="center" vertical="center" wrapText="1"/>
    </xf>
    <xf numFmtId="49" fontId="30" fillId="22" borderId="4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6" fillId="0" borderId="0" xfId="0" applyNumberFormat="1" applyFont="1" applyAlignment="1">
      <alignment horizontal="center" vertical="center"/>
    </xf>
    <xf numFmtId="49" fontId="14" fillId="5" borderId="87" xfId="0" applyNumberFormat="1" applyFont="1" applyFill="1" applyBorder="1" applyAlignment="1" applyProtection="1">
      <alignment horizontal="center" vertical="center"/>
    </xf>
    <xf numFmtId="49" fontId="14" fillId="6" borderId="88" xfId="0" applyNumberFormat="1" applyFont="1" applyFill="1" applyBorder="1" applyAlignment="1" applyProtection="1">
      <alignment horizontal="center" vertical="center"/>
    </xf>
    <xf numFmtId="49" fontId="17" fillId="7" borderId="89" xfId="0" applyNumberFormat="1" applyFont="1" applyFill="1" applyBorder="1" applyAlignment="1" applyProtection="1">
      <alignment horizontal="center" vertical="center"/>
    </xf>
    <xf numFmtId="49" fontId="39" fillId="22" borderId="13" xfId="0" applyNumberFormat="1" applyFont="1" applyFill="1" applyBorder="1" applyAlignment="1" applyProtection="1">
      <alignment horizontal="center" vertical="center"/>
    </xf>
    <xf numFmtId="0" fontId="8" fillId="4" borderId="67" xfId="0" applyFont="1" applyFill="1" applyBorder="1" applyAlignment="1" applyProtection="1">
      <alignment horizontal="center" vertical="center" wrapText="1"/>
    </xf>
    <xf numFmtId="0" fontId="8" fillId="4" borderId="48" xfId="0" applyFont="1" applyFill="1" applyBorder="1" applyAlignment="1" applyProtection="1">
      <alignment horizontal="center" vertical="center" wrapText="1"/>
    </xf>
    <xf numFmtId="0" fontId="8" fillId="4" borderId="30" xfId="0" applyFont="1" applyFill="1" applyBorder="1" applyAlignment="1" applyProtection="1">
      <alignment horizontal="center" vertical="center" wrapText="1"/>
    </xf>
    <xf numFmtId="0" fontId="8" fillId="4" borderId="31" xfId="0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4" borderId="39" xfId="0" applyNumberFormat="1" applyFill="1" applyBorder="1" applyAlignment="1" applyProtection="1">
      <alignment horizontal="center" vertical="center" wrapText="1"/>
    </xf>
    <xf numFmtId="0" fontId="0" fillId="4" borderId="54" xfId="0" applyNumberFormat="1" applyFill="1" applyBorder="1" applyAlignment="1" applyProtection="1">
      <alignment horizontal="center" vertical="center" wrapText="1"/>
    </xf>
    <xf numFmtId="0" fontId="35" fillId="0" borderId="15" xfId="0" applyNumberFormat="1" applyFont="1" applyBorder="1" applyAlignment="1">
      <alignment horizontal="center" vertical="center" wrapText="1"/>
    </xf>
    <xf numFmtId="0" fontId="35" fillId="0" borderId="22" xfId="0" applyNumberFormat="1" applyFont="1" applyBorder="1" applyAlignment="1">
      <alignment horizontal="center" vertical="center" wrapText="1"/>
    </xf>
    <xf numFmtId="0" fontId="35" fillId="0" borderId="17" xfId="0" applyNumberFormat="1" applyFont="1" applyBorder="1" applyAlignment="1">
      <alignment horizontal="center" vertical="center" wrapText="1"/>
    </xf>
    <xf numFmtId="0" fontId="35" fillId="0" borderId="18" xfId="0" applyNumberFormat="1" applyFont="1" applyBorder="1" applyAlignment="1">
      <alignment horizontal="center" vertical="center" wrapText="1"/>
    </xf>
    <xf numFmtId="0" fontId="35" fillId="0" borderId="2" xfId="0" applyNumberFormat="1" applyFont="1" applyBorder="1" applyAlignment="1">
      <alignment horizontal="center" vertical="center" wrapText="1"/>
    </xf>
    <xf numFmtId="0" fontId="35" fillId="0" borderId="19" xfId="0" applyNumberFormat="1" applyFont="1" applyBorder="1" applyAlignment="1">
      <alignment horizontal="center" vertical="center" wrapText="1"/>
    </xf>
    <xf numFmtId="0" fontId="35" fillId="0" borderId="16" xfId="0" applyNumberFormat="1" applyFont="1" applyBorder="1" applyAlignment="1">
      <alignment horizontal="center" vertical="center" wrapText="1"/>
    </xf>
    <xf numFmtId="0" fontId="35" fillId="0" borderId="21" xfId="0" applyNumberFormat="1" applyFont="1" applyBorder="1" applyAlignment="1">
      <alignment horizontal="center" vertical="center" wrapText="1"/>
    </xf>
    <xf numFmtId="0" fontId="35" fillId="0" borderId="20" xfId="0" applyNumberFormat="1" applyFont="1" applyBorder="1" applyAlignment="1">
      <alignment horizontal="center" vertical="center" wrapText="1"/>
    </xf>
    <xf numFmtId="0" fontId="0" fillId="4" borderId="38" xfId="0" applyNumberFormat="1" applyFill="1" applyBorder="1" applyAlignment="1" applyProtection="1">
      <alignment horizontal="center" vertical="center" wrapText="1"/>
    </xf>
    <xf numFmtId="0" fontId="0" fillId="4" borderId="53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41" xfId="0" applyNumberFormat="1" applyFill="1" applyBorder="1" applyAlignment="1" applyProtection="1">
      <alignment horizontal="center" vertical="center" wrapText="1"/>
    </xf>
    <xf numFmtId="0" fontId="0" fillId="4" borderId="43" xfId="0" applyNumberFormat="1" applyFill="1" applyBorder="1" applyAlignment="1" applyProtection="1">
      <alignment horizontal="center" vertical="center" wrapText="1"/>
    </xf>
    <xf numFmtId="0" fontId="0" fillId="4" borderId="42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4" borderId="50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49" fontId="18" fillId="10" borderId="15" xfId="0" applyNumberFormat="1" applyFont="1" applyFill="1" applyBorder="1" applyAlignment="1" applyProtection="1">
      <alignment horizontal="center" vertical="center" wrapText="1"/>
    </xf>
    <xf numFmtId="49" fontId="18" fillId="10" borderId="22" xfId="0" applyNumberFormat="1" applyFont="1" applyFill="1" applyBorder="1" applyAlignment="1" applyProtection="1">
      <alignment horizontal="center" vertical="center" wrapText="1"/>
    </xf>
    <xf numFmtId="49" fontId="18" fillId="10" borderId="17" xfId="0" applyNumberFormat="1" applyFont="1" applyFill="1" applyBorder="1" applyAlignment="1" applyProtection="1">
      <alignment horizontal="center" vertical="center" wrapText="1"/>
    </xf>
    <xf numFmtId="49" fontId="18" fillId="10" borderId="16" xfId="0" applyNumberFormat="1" applyFont="1" applyFill="1" applyBorder="1" applyAlignment="1" applyProtection="1">
      <alignment horizontal="center" vertical="center" wrapText="1"/>
    </xf>
    <xf numFmtId="49" fontId="18" fillId="10" borderId="21" xfId="0" applyNumberFormat="1" applyFont="1" applyFill="1" applyBorder="1" applyAlignment="1" applyProtection="1">
      <alignment horizontal="center" vertical="center" wrapText="1"/>
    </xf>
    <xf numFmtId="49" fontId="18" fillId="10" borderId="20" xfId="0" applyNumberFormat="1" applyFont="1" applyFill="1" applyBorder="1" applyAlignment="1" applyProtection="1">
      <alignment horizontal="center" vertical="center" wrapText="1"/>
    </xf>
    <xf numFmtId="49" fontId="2" fillId="2" borderId="24" xfId="0" applyNumberFormat="1" applyFont="1" applyFill="1" applyBorder="1" applyAlignment="1" applyProtection="1">
      <alignment horizontal="center" vertical="center" wrapText="1"/>
    </xf>
    <xf numFmtId="49" fontId="2" fillId="2" borderId="36" xfId="0" applyNumberFormat="1" applyFont="1" applyFill="1" applyBorder="1" applyAlignment="1" applyProtection="1">
      <alignment horizontal="center" vertical="center" wrapText="1"/>
    </xf>
    <xf numFmtId="49" fontId="2" fillId="2" borderId="25" xfId="0" applyNumberFormat="1" applyFont="1" applyFill="1" applyBorder="1" applyAlignment="1" applyProtection="1">
      <alignment horizontal="center" vertical="center" wrapText="1"/>
    </xf>
    <xf numFmtId="49" fontId="18" fillId="2" borderId="15" xfId="0" applyNumberFormat="1" applyFont="1" applyFill="1" applyBorder="1" applyAlignment="1" applyProtection="1">
      <alignment horizontal="center" vertical="center" wrapText="1"/>
    </xf>
    <xf numFmtId="49" fontId="18" fillId="2" borderId="22" xfId="0" applyNumberFormat="1" applyFont="1" applyFill="1" applyBorder="1" applyAlignment="1" applyProtection="1">
      <alignment horizontal="center" vertical="center" wrapText="1"/>
    </xf>
    <xf numFmtId="49" fontId="18" fillId="2" borderId="17" xfId="0" applyNumberFormat="1" applyFont="1" applyFill="1" applyBorder="1" applyAlignment="1" applyProtection="1">
      <alignment horizontal="center" vertical="center" wrapText="1"/>
    </xf>
    <xf numFmtId="49" fontId="18" fillId="2" borderId="16" xfId="0" applyNumberFormat="1" applyFont="1" applyFill="1" applyBorder="1" applyAlignment="1" applyProtection="1">
      <alignment horizontal="center" vertical="center" wrapText="1"/>
    </xf>
    <xf numFmtId="49" fontId="18" fillId="2" borderId="21" xfId="0" applyNumberFormat="1" applyFont="1" applyFill="1" applyBorder="1" applyAlignment="1" applyProtection="1">
      <alignment horizontal="center" vertical="center" wrapText="1"/>
    </xf>
    <xf numFmtId="49" fontId="18" fillId="2" borderId="20" xfId="0" applyNumberFormat="1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wrapText="1"/>
    </xf>
    <xf numFmtId="49" fontId="2" fillId="2" borderId="14" xfId="0" applyNumberFormat="1" applyFont="1" applyFill="1" applyBorder="1" applyAlignment="1" applyProtection="1">
      <alignment horizontal="center" vertical="center" wrapText="1"/>
    </xf>
    <xf numFmtId="49" fontId="14" fillId="5" borderId="15" xfId="0" applyNumberFormat="1" applyFont="1" applyFill="1" applyBorder="1" applyAlignment="1" applyProtection="1">
      <alignment horizontal="center" vertical="center"/>
    </xf>
    <xf numFmtId="49" fontId="14" fillId="5" borderId="17" xfId="0" applyNumberFormat="1" applyFont="1" applyFill="1" applyBorder="1" applyAlignment="1" applyProtection="1">
      <alignment horizontal="center" vertical="center"/>
    </xf>
    <xf numFmtId="49" fontId="14" fillId="6" borderId="15" xfId="0" applyNumberFormat="1" applyFont="1" applyFill="1" applyBorder="1" applyAlignment="1" applyProtection="1">
      <alignment horizontal="center" vertical="center"/>
    </xf>
    <xf numFmtId="49" fontId="14" fillId="6" borderId="17" xfId="0" applyNumberFormat="1" applyFont="1" applyFill="1" applyBorder="1" applyAlignment="1" applyProtection="1">
      <alignment horizontal="center" vertical="center"/>
    </xf>
    <xf numFmtId="49" fontId="17" fillId="7" borderId="15" xfId="0" applyNumberFormat="1" applyFont="1" applyFill="1" applyBorder="1" applyAlignment="1" applyProtection="1">
      <alignment horizontal="center" vertical="center"/>
    </xf>
    <xf numFmtId="49" fontId="17" fillId="7" borderId="17" xfId="0" applyNumberFormat="1" applyFont="1" applyFill="1" applyBorder="1" applyAlignment="1" applyProtection="1">
      <alignment horizontal="center" vertical="center"/>
    </xf>
    <xf numFmtId="49" fontId="39" fillId="22" borderId="15" xfId="0" applyNumberFormat="1" applyFont="1" applyFill="1" applyBorder="1" applyAlignment="1" applyProtection="1">
      <alignment horizontal="center" vertical="center"/>
    </xf>
    <xf numFmtId="49" fontId="39" fillId="22" borderId="17" xfId="0" applyNumberFormat="1" applyFont="1" applyFill="1" applyBorder="1" applyAlignment="1" applyProtection="1">
      <alignment horizontal="center" vertical="center"/>
    </xf>
    <xf numFmtId="49" fontId="17" fillId="12" borderId="45" xfId="0" applyNumberFormat="1" applyFont="1" applyFill="1" applyBorder="1" applyAlignment="1" applyProtection="1">
      <alignment horizontal="center" vertical="center"/>
    </xf>
    <xf numFmtId="49" fontId="17" fillId="12" borderId="47" xfId="0" applyNumberFormat="1" applyFont="1" applyFill="1" applyBorder="1" applyAlignment="1" applyProtection="1">
      <alignment horizontal="center" vertical="center"/>
    </xf>
    <xf numFmtId="49" fontId="5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14" fillId="5" borderId="65" xfId="0" applyNumberFormat="1" applyFont="1" applyFill="1" applyBorder="1" applyAlignment="1" applyProtection="1">
      <alignment horizontal="center" vertical="center"/>
    </xf>
    <xf numFmtId="49" fontId="14" fillId="5" borderId="66" xfId="0" applyNumberFormat="1" applyFont="1" applyFill="1" applyBorder="1" applyAlignment="1" applyProtection="1">
      <alignment horizontal="center" vertical="center"/>
    </xf>
    <xf numFmtId="49" fontId="14" fillId="6" borderId="41" xfId="0" applyNumberFormat="1" applyFont="1" applyFill="1" applyBorder="1" applyAlignment="1" applyProtection="1">
      <alignment horizontal="center" vertical="center"/>
    </xf>
    <xf numFmtId="49" fontId="14" fillId="6" borderId="42" xfId="0" applyNumberFormat="1" applyFont="1" applyFill="1" applyBorder="1" applyAlignment="1" applyProtection="1">
      <alignment horizontal="center" vertical="center"/>
    </xf>
    <xf numFmtId="49" fontId="5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9" fontId="2" fillId="2" borderId="15" xfId="0" applyNumberFormat="1" applyFont="1" applyFill="1" applyBorder="1" applyAlignment="1" applyProtection="1">
      <alignment horizontal="center" vertical="center" wrapText="1"/>
    </xf>
    <xf numFmtId="49" fontId="2" fillId="2" borderId="18" xfId="0" applyNumberFormat="1" applyFont="1" applyFill="1" applyBorder="1" applyAlignment="1" applyProtection="1">
      <alignment horizontal="center" vertical="center" wrapText="1"/>
    </xf>
    <xf numFmtId="0" fontId="18" fillId="10" borderId="13" xfId="0" applyFont="1" applyFill="1" applyBorder="1" applyAlignment="1" applyProtection="1">
      <alignment horizontal="center" vertical="center" wrapText="1"/>
    </xf>
    <xf numFmtId="0" fontId="18" fillId="10" borderId="23" xfId="0" applyFont="1" applyFill="1" applyBorder="1" applyAlignment="1" applyProtection="1">
      <alignment horizontal="center" vertical="center" wrapText="1"/>
    </xf>
    <xf numFmtId="49" fontId="5" fillId="0" borderId="61" xfId="0" applyNumberFormat="1" applyFont="1" applyBorder="1" applyAlignment="1" applyProtection="1">
      <alignment horizontal="center" vertical="center" wrapText="1"/>
      <protection locked="0"/>
    </xf>
    <xf numFmtId="0" fontId="18" fillId="10" borderId="22" xfId="0" applyFont="1" applyFill="1" applyBorder="1" applyAlignment="1" applyProtection="1">
      <alignment horizontal="center" vertical="center" wrapText="1"/>
    </xf>
    <xf numFmtId="0" fontId="18" fillId="10" borderId="17" xfId="0" applyFont="1" applyFill="1" applyBorder="1" applyAlignment="1" applyProtection="1">
      <alignment horizontal="center" vertical="center" wrapText="1"/>
    </xf>
    <xf numFmtId="0" fontId="18" fillId="10" borderId="2" xfId="0" applyFont="1" applyFill="1" applyBorder="1" applyAlignment="1" applyProtection="1">
      <alignment horizontal="center" vertical="center" wrapText="1"/>
    </xf>
    <xf numFmtId="0" fontId="18" fillId="10" borderId="19" xfId="0" applyFont="1" applyFill="1" applyBorder="1" applyAlignment="1" applyProtection="1">
      <alignment horizontal="center" vertical="center" wrapText="1"/>
    </xf>
    <xf numFmtId="0" fontId="2" fillId="10" borderId="13" xfId="0" applyFont="1" applyFill="1" applyBorder="1" applyAlignment="1" applyProtection="1">
      <alignment horizontal="center" vertical="center" wrapText="1"/>
    </xf>
    <xf numFmtId="0" fontId="2" fillId="10" borderId="23" xfId="0" applyFont="1" applyFill="1" applyBorder="1" applyAlignment="1" applyProtection="1">
      <alignment horizontal="center" vertical="center" wrapText="1"/>
    </xf>
    <xf numFmtId="0" fontId="2" fillId="10" borderId="18" xfId="0" applyFon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49" fontId="5" fillId="0" borderId="39" xfId="0" applyNumberFormat="1" applyFont="1" applyBorder="1" applyAlignment="1" applyProtection="1">
      <alignment horizontal="center" vertical="center" wrapText="1"/>
      <protection locked="0"/>
    </xf>
    <xf numFmtId="49" fontId="5" fillId="0" borderId="38" xfId="0" applyNumberFormat="1" applyFont="1" applyBorder="1" applyAlignment="1" applyProtection="1">
      <alignment horizontal="center" vertical="center" wrapText="1"/>
      <protection locked="0"/>
    </xf>
    <xf numFmtId="49" fontId="5" fillId="4" borderId="15" xfId="0" applyNumberFormat="1" applyFont="1" applyFill="1" applyBorder="1" applyAlignment="1" applyProtection="1">
      <alignment horizontal="center" vertical="center" wrapText="1"/>
    </xf>
    <xf numFmtId="49" fontId="5" fillId="4" borderId="83" xfId="0" applyNumberFormat="1" applyFont="1" applyFill="1" applyBorder="1" applyAlignment="1" applyProtection="1">
      <alignment horizontal="center" vertical="center" wrapText="1"/>
    </xf>
    <xf numFmtId="49" fontId="5" fillId="0" borderId="44" xfId="0" applyNumberFormat="1" applyFont="1" applyBorder="1" applyAlignment="1" applyProtection="1">
      <alignment horizontal="center" vertical="center" wrapText="1"/>
      <protection locked="0"/>
    </xf>
    <xf numFmtId="49" fontId="2" fillId="2" borderId="23" xfId="0" applyNumberFormat="1" applyFont="1" applyFill="1" applyBorder="1" applyAlignment="1" applyProtection="1">
      <alignment horizontal="center" vertical="center" wrapText="1"/>
    </xf>
    <xf numFmtId="0" fontId="18" fillId="10" borderId="14" xfId="0" applyFont="1" applyFill="1" applyBorder="1" applyAlignment="1" applyProtection="1">
      <alignment horizontal="center" vertical="center" wrapText="1"/>
    </xf>
    <xf numFmtId="0" fontId="18" fillId="10" borderId="15" xfId="0" applyFont="1" applyFill="1" applyBorder="1" applyAlignment="1" applyProtection="1">
      <alignment horizontal="center" vertical="center" wrapText="1"/>
    </xf>
    <xf numFmtId="0" fontId="18" fillId="10" borderId="18" xfId="0" applyFont="1" applyFill="1" applyBorder="1" applyAlignment="1" applyProtection="1">
      <alignment horizontal="center" vertical="center" wrapText="1"/>
    </xf>
    <xf numFmtId="0" fontId="18" fillId="10" borderId="16" xfId="0" applyFont="1" applyFill="1" applyBorder="1" applyAlignment="1" applyProtection="1">
      <alignment horizontal="center" vertical="center" wrapText="1"/>
    </xf>
    <xf numFmtId="0" fontId="18" fillId="10" borderId="20" xfId="0" applyFont="1" applyFill="1" applyBorder="1" applyAlignment="1" applyProtection="1">
      <alignment horizontal="center" vertical="center" wrapText="1"/>
    </xf>
    <xf numFmtId="0" fontId="2" fillId="10" borderId="14" xfId="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5" fillId="2" borderId="35" xfId="0" applyNumberFormat="1" applyFont="1" applyFill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 wrapText="1"/>
    </xf>
    <xf numFmtId="0" fontId="29" fillId="0" borderId="21" xfId="0" applyNumberFormat="1" applyFont="1" applyBorder="1" applyAlignment="1">
      <alignment horizontal="center" vertical="center" wrapText="1"/>
    </xf>
    <xf numFmtId="0" fontId="29" fillId="0" borderId="15" xfId="0" applyNumberFormat="1" applyFont="1" applyBorder="1" applyAlignment="1">
      <alignment horizontal="center" vertical="center" wrapText="1"/>
    </xf>
    <xf numFmtId="0" fontId="29" fillId="0" borderId="22" xfId="0" applyNumberFormat="1" applyFont="1" applyBorder="1" applyAlignment="1">
      <alignment horizontal="center" vertical="center" wrapText="1"/>
    </xf>
    <xf numFmtId="0" fontId="29" fillId="0" borderId="24" xfId="0" applyNumberFormat="1" applyFont="1" applyBorder="1" applyAlignment="1">
      <alignment horizontal="center" vertical="center" wrapText="1"/>
    </xf>
    <xf numFmtId="0" fontId="29" fillId="0" borderId="36" xfId="0" applyNumberFormat="1" applyFont="1" applyBorder="1" applyAlignment="1">
      <alignment horizontal="center" vertical="center" wrapText="1"/>
    </xf>
    <xf numFmtId="0" fontId="29" fillId="0" borderId="25" xfId="0" applyNumberFormat="1" applyFont="1" applyBorder="1" applyAlignment="1">
      <alignment horizontal="center" vertical="center" wrapText="1"/>
    </xf>
    <xf numFmtId="0" fontId="12" fillId="15" borderId="52" xfId="0" applyFont="1" applyFill="1" applyBorder="1" applyAlignment="1">
      <alignment horizontal="center" vertical="center"/>
    </xf>
    <xf numFmtId="0" fontId="12" fillId="15" borderId="82" xfId="0" applyFont="1" applyFill="1" applyBorder="1" applyAlignment="1">
      <alignment horizontal="center" vertical="center"/>
    </xf>
    <xf numFmtId="0" fontId="12" fillId="15" borderId="74" xfId="0" applyFont="1" applyFill="1" applyBorder="1" applyAlignment="1">
      <alignment horizontal="center" vertical="center"/>
    </xf>
    <xf numFmtId="0" fontId="29" fillId="13" borderId="24" xfId="0" applyNumberFormat="1" applyFont="1" applyFill="1" applyBorder="1" applyAlignment="1">
      <alignment horizontal="center" vertical="top" wrapText="1"/>
    </xf>
    <xf numFmtId="0" fontId="29" fillId="13" borderId="36" xfId="0" applyNumberFormat="1" applyFont="1" applyFill="1" applyBorder="1" applyAlignment="1">
      <alignment horizontal="center" vertical="top" wrapText="1"/>
    </xf>
    <xf numFmtId="0" fontId="29" fillId="13" borderId="25" xfId="0" applyNumberFormat="1" applyFont="1" applyFill="1" applyBorder="1" applyAlignment="1">
      <alignment horizontal="center" vertical="top" wrapText="1"/>
    </xf>
    <xf numFmtId="0" fontId="0" fillId="4" borderId="90" xfId="0" applyNumberFormat="1" applyFill="1" applyBorder="1" applyAlignment="1" applyProtection="1">
      <alignment horizontal="center" vertical="center" wrapText="1"/>
    </xf>
    <xf numFmtId="0" fontId="0" fillId="4" borderId="26" xfId="0" applyNumberFormat="1" applyFill="1" applyBorder="1" applyAlignment="1" applyProtection="1">
      <alignment horizontal="center" vertical="center" wrapText="1"/>
    </xf>
    <xf numFmtId="0" fontId="0" fillId="4" borderId="91" xfId="0" applyNumberFormat="1" applyFill="1" applyBorder="1" applyAlignment="1" applyProtection="1">
      <alignment horizontal="center" vertical="center" wrapText="1"/>
    </xf>
    <xf numFmtId="0" fontId="0" fillId="4" borderId="92" xfId="0" applyNumberFormat="1" applyFill="1" applyBorder="1" applyAlignment="1" applyProtection="1">
      <alignment horizontal="center" vertical="center" wrapText="1"/>
    </xf>
    <xf numFmtId="0" fontId="8" fillId="4" borderId="53" xfId="0" applyFont="1" applyFill="1" applyBorder="1" applyAlignment="1" applyProtection="1">
      <alignment horizontal="center" vertical="center" wrapText="1"/>
    </xf>
    <xf numFmtId="0" fontId="8" fillId="4" borderId="54" xfId="0" applyFont="1" applyFill="1" applyBorder="1" applyAlignment="1" applyProtection="1">
      <alignment horizontal="center" vertical="center" wrapText="1"/>
    </xf>
    <xf numFmtId="49" fontId="17" fillId="7" borderId="29" xfId="0" applyNumberFormat="1" applyFont="1" applyFill="1" applyBorder="1" applyAlignment="1" applyProtection="1">
      <alignment horizontal="center" vertical="center"/>
    </xf>
    <xf numFmtId="49" fontId="32" fillId="15" borderId="5" xfId="0" applyNumberFormat="1" applyFont="1" applyFill="1" applyBorder="1" applyAlignment="1" applyProtection="1">
      <alignment horizontal="center" vertical="center"/>
    </xf>
    <xf numFmtId="49" fontId="39" fillId="22" borderId="5" xfId="0" applyNumberFormat="1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4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6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9"/>
      </font>
      <fill>
        <patternFill>
          <bgColor theme="6" tint="0.79998168889431442"/>
        </patternFill>
      </fill>
    </dxf>
    <dxf>
      <font>
        <b/>
        <i val="0"/>
        <strike val="0"/>
        <color theme="9" tint="0.59996337778862885"/>
      </font>
      <fill>
        <patternFill>
          <bgColor theme="0" tint="-0.499984740745262"/>
        </patternFill>
      </fill>
    </dxf>
    <dxf>
      <font>
        <b/>
        <i val="0"/>
        <color rgb="FFFFC000"/>
      </font>
      <fill>
        <patternFill>
          <bgColor theme="6" tint="0.79998168889431442"/>
        </patternFill>
      </fill>
    </dxf>
    <dxf>
      <font>
        <b/>
        <i val="0"/>
        <strike val="0"/>
        <color rgb="FFFFD579"/>
      </font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auto="1"/>
      </font>
      <fill>
        <patternFill>
          <bgColor theme="6" tint="0.79998168889431442"/>
        </patternFill>
      </fill>
    </dxf>
    <dxf>
      <font>
        <b/>
        <i val="0"/>
        <strike val="0"/>
        <color theme="0"/>
      </font>
      <fill>
        <patternFill>
          <bgColor theme="0" tint="-0.49998474074526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4" tint="-0.24994659260841701"/>
      </font>
      <fill>
        <patternFill>
          <bgColor theme="6" tint="0.79998168889431442"/>
        </patternFill>
      </fill>
    </dxf>
    <dxf>
      <font>
        <b/>
        <i val="0"/>
        <strike val="0"/>
        <color theme="4" tint="-0.499984740745262"/>
      </font>
      <fill>
        <patternFill>
          <bgColor theme="0" tint="-0.49998474074526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C00000"/>
      </font>
      <fill>
        <patternFill>
          <bgColor theme="6" tint="0.79998168889431442"/>
        </patternFill>
      </fill>
    </dxf>
    <dxf>
      <font>
        <b/>
        <i val="0"/>
        <strike val="0"/>
        <color theme="9" tint="-0.24994659260841701"/>
      </font>
      <fill>
        <patternFill>
          <bgColor theme="0" tint="-0.49998474074526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auto="1"/>
      </font>
      <fill>
        <patternFill>
          <bgColor theme="0" tint="-0.49998474074526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/>
        </patternFill>
      </fill>
    </dxf>
    <dxf>
      <font>
        <color theme="0"/>
      </font>
      <fill>
        <patternFill>
          <bgColor rgb="FFFF0000"/>
        </patternFill>
      </fill>
    </dxf>
    <dxf>
      <font>
        <strike val="0"/>
      </font>
      <fill>
        <patternFill>
          <bgColor rgb="FFFFEEAD"/>
        </patternFill>
      </fill>
    </dxf>
    <dxf>
      <fill>
        <patternFill>
          <bgColor theme="7" tint="0.79998168889431442"/>
        </patternFill>
      </fill>
    </dxf>
    <dxf>
      <font>
        <strike val="0"/>
      </font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0000"/>
      </font>
      <fill>
        <patternFill patternType="solid">
          <fgColor indexed="16"/>
          <bgColor indexed="1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F1BFF"/>
      <rgbColor rgb="FFBDC0BF"/>
      <rgbColor rgb="FFA5A5A5"/>
      <rgbColor rgb="FF020201"/>
      <rgbColor rgb="FF0432FF"/>
      <rgbColor rgb="FFFEFE9F"/>
      <rgbColor rgb="FF3F3F3F"/>
      <rgbColor rgb="00000000"/>
      <rgbColor rgb="E5FF9781"/>
      <rgbColor rgb="FFDBDBDB"/>
      <rgbColor rgb="FFA6A6A6"/>
      <rgbColor rgb="FFFCF305"/>
      <rgbColor rgb="FFFDFDC7"/>
      <rgbColor rgb="FFD7FDD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579"/>
      <color rgb="FFFFEEAD"/>
      <color rgb="FF941100"/>
      <color rgb="FFFF9300"/>
      <color rgb="FF94520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100330</xdr:colOff>
      <xdr:row>35</xdr:row>
      <xdr:rowOff>171001</xdr:rowOff>
    </xdr:from>
    <xdr:to>
      <xdr:col>28</xdr:col>
      <xdr:colOff>126313</xdr:colOff>
      <xdr:row>38</xdr:row>
      <xdr:rowOff>105036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6C46442-AFE8-4849-B3CC-0FE4FB3D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14630" y="9530901"/>
          <a:ext cx="660984" cy="696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10523</xdr:colOff>
      <xdr:row>29</xdr:row>
      <xdr:rowOff>108599</xdr:rowOff>
    </xdr:from>
    <xdr:to>
      <xdr:col>20</xdr:col>
      <xdr:colOff>400910</xdr:colOff>
      <xdr:row>40</xdr:row>
      <xdr:rowOff>84811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601515F-B78E-8794-B13A-AC2229297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7403" y="7789559"/>
          <a:ext cx="3875348" cy="3034372"/>
        </a:xfrm>
        <a:prstGeom prst="rect">
          <a:avLst/>
        </a:prstGeom>
      </xdr:spPr>
    </xdr:pic>
    <xdr:clientData/>
  </xdr:twoCellAnchor>
  <xdr:twoCellAnchor editAs="oneCell">
    <xdr:from>
      <xdr:col>21</xdr:col>
      <xdr:colOff>42615</xdr:colOff>
      <xdr:row>34</xdr:row>
      <xdr:rowOff>94075</xdr:rowOff>
    </xdr:from>
    <xdr:to>
      <xdr:col>24</xdr:col>
      <xdr:colOff>362044</xdr:colOff>
      <xdr:row>40</xdr:row>
      <xdr:rowOff>32570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215595-2F03-9A85-9B3A-72748ECE5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62492" y="9109507"/>
          <a:ext cx="1540965" cy="1537754"/>
        </a:xfrm>
        <a:prstGeom prst="rect">
          <a:avLst/>
        </a:prstGeom>
      </xdr:spPr>
    </xdr:pic>
    <xdr:clientData/>
  </xdr:twoCellAnchor>
  <xdr:twoCellAnchor editAs="oneCell">
    <xdr:from>
      <xdr:col>26</xdr:col>
      <xdr:colOff>100330</xdr:colOff>
      <xdr:row>35</xdr:row>
      <xdr:rowOff>171001</xdr:rowOff>
    </xdr:from>
    <xdr:to>
      <xdr:col>28</xdr:col>
      <xdr:colOff>24714</xdr:colOff>
      <xdr:row>38</xdr:row>
      <xdr:rowOff>105036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E442F0F-E990-444A-897F-0CE21892A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89430" y="9530901"/>
          <a:ext cx="660983" cy="696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DB1B-D495-7542-9803-E00C1897E12F}">
  <sheetPr>
    <tabColor rgb="FFFF7E79"/>
    <pageSetUpPr fitToPage="1"/>
  </sheetPr>
  <dimension ref="A1:HJ43"/>
  <sheetViews>
    <sheetView showGridLines="0" zoomScale="125" zoomScaleNormal="125" workbookViewId="0">
      <pane xSplit="1" ySplit="4" topLeftCell="B5" activePane="bottomRight" state="frozen"/>
      <selection pane="topRight"/>
      <selection pane="bottomLeft"/>
      <selection pane="bottomRight" activeCell="B19" sqref="B19"/>
    </sheetView>
  </sheetViews>
  <sheetFormatPr baseColWidth="10" defaultColWidth="16.33203125" defaultRowHeight="20" customHeight="1"/>
  <cols>
    <col min="1" max="1" width="13.5" style="23" bestFit="1" customWidth="1"/>
    <col min="2" max="2" width="35.33203125" style="23" customWidth="1"/>
    <col min="3" max="3" width="8.83203125" style="23" bestFit="1" customWidth="1"/>
    <col min="4" max="4" width="7" style="61" bestFit="1" customWidth="1"/>
    <col min="5" max="5" width="8.83203125" style="61" bestFit="1" customWidth="1"/>
    <col min="6" max="8" width="7.6640625" style="23" bestFit="1" customWidth="1"/>
    <col min="9" max="10" width="6.33203125" style="23" bestFit="1" customWidth="1"/>
    <col min="11" max="11" width="2.1640625" customWidth="1"/>
    <col min="12" max="13" width="5.5" style="23" bestFit="1" customWidth="1"/>
    <col min="14" max="14" width="5.5" style="23" customWidth="1"/>
    <col min="15" max="15" width="4.5" style="23" bestFit="1" customWidth="1"/>
    <col min="16" max="16" width="4.5" style="23" customWidth="1"/>
    <col min="17" max="17" width="5" style="23" bestFit="1" customWidth="1"/>
    <col min="18" max="20" width="5" style="23" customWidth="1"/>
    <col min="21" max="21" width="5.5" style="23" bestFit="1" customWidth="1"/>
    <col min="22" max="23" width="5.6640625" style="23" bestFit="1" customWidth="1"/>
    <col min="24" max="25" width="4.83203125" style="23" bestFit="1" customWidth="1"/>
    <col min="26" max="26" width="5.5" style="23" bestFit="1" customWidth="1"/>
    <col min="27" max="27" width="4.1640625" style="23" bestFit="1" customWidth="1"/>
    <col min="28" max="28" width="4.1640625" style="22" bestFit="1" customWidth="1"/>
    <col min="29" max="31" width="4.83203125" style="22" bestFit="1" customWidth="1"/>
    <col min="32" max="33" width="4.83203125" style="22" customWidth="1"/>
    <col min="34" max="34" width="9.5" style="22" bestFit="1" customWidth="1"/>
    <col min="35" max="37" width="3.1640625" style="22" bestFit="1" customWidth="1"/>
    <col min="38" max="218" width="16.33203125" style="22"/>
    <col min="219" max="16384" width="16.33203125" style="23"/>
  </cols>
  <sheetData>
    <row r="1" spans="1:37" ht="27.75" customHeight="1" thickBot="1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</row>
    <row r="2" spans="1:37" ht="27.75" customHeight="1" thickBot="1">
      <c r="A2" s="257" t="s">
        <v>4</v>
      </c>
      <c r="B2" s="279" t="s">
        <v>18</v>
      </c>
      <c r="C2" s="297" t="s">
        <v>17</v>
      </c>
      <c r="D2" s="283"/>
      <c r="E2" s="286" t="s">
        <v>31</v>
      </c>
      <c r="F2" s="242" t="s">
        <v>14</v>
      </c>
      <c r="G2" s="243"/>
      <c r="H2" s="243"/>
      <c r="I2" s="243"/>
      <c r="J2" s="244"/>
      <c r="L2" s="248" t="s">
        <v>32</v>
      </c>
      <c r="M2" s="249"/>
      <c r="N2" s="249"/>
      <c r="O2" s="249"/>
      <c r="P2" s="249"/>
      <c r="Q2" s="249"/>
      <c r="R2" s="249"/>
      <c r="S2" s="249"/>
      <c r="T2" s="250"/>
      <c r="U2" s="251" t="s">
        <v>20</v>
      </c>
      <c r="V2" s="252"/>
      <c r="W2" s="252"/>
      <c r="X2" s="252"/>
      <c r="Y2" s="253"/>
      <c r="Z2" s="251" t="s">
        <v>19</v>
      </c>
      <c r="AA2" s="252"/>
      <c r="AB2" s="252"/>
      <c r="AC2" s="252"/>
      <c r="AD2" s="252"/>
      <c r="AE2" s="252"/>
      <c r="AF2" s="252"/>
      <c r="AG2" s="253"/>
      <c r="AH2" s="257" t="s">
        <v>52</v>
      </c>
    </row>
    <row r="3" spans="1:37" ht="32.75" customHeight="1" thickBot="1">
      <c r="A3" s="295"/>
      <c r="B3" s="280"/>
      <c r="C3" s="298"/>
      <c r="D3" s="285"/>
      <c r="E3" s="287"/>
      <c r="F3" s="245"/>
      <c r="G3" s="246"/>
      <c r="H3" s="246"/>
      <c r="I3" s="246"/>
      <c r="J3" s="247"/>
      <c r="L3" s="259" t="s">
        <v>1</v>
      </c>
      <c r="M3" s="260"/>
      <c r="N3" s="261" t="s">
        <v>2</v>
      </c>
      <c r="O3" s="262"/>
      <c r="P3" s="263" t="s">
        <v>3</v>
      </c>
      <c r="Q3" s="264"/>
      <c r="R3" s="37" t="s">
        <v>43</v>
      </c>
      <c r="S3" s="265" t="s">
        <v>55</v>
      </c>
      <c r="T3" s="266"/>
      <c r="U3" s="254"/>
      <c r="V3" s="255"/>
      <c r="W3" s="255"/>
      <c r="X3" s="255"/>
      <c r="Y3" s="256"/>
      <c r="Z3" s="254"/>
      <c r="AA3" s="255"/>
      <c r="AB3" s="255"/>
      <c r="AC3" s="255"/>
      <c r="AD3" s="255"/>
      <c r="AE3" s="255"/>
      <c r="AF3" s="255"/>
      <c r="AG3" s="256"/>
      <c r="AH3" s="258"/>
    </row>
    <row r="4" spans="1:37" ht="19.75" customHeight="1" thickBot="1">
      <c r="A4" s="258"/>
      <c r="B4" s="296"/>
      <c r="C4" s="299"/>
      <c r="D4" s="300"/>
      <c r="E4" s="301"/>
      <c r="F4" s="26" t="s">
        <v>1</v>
      </c>
      <c r="G4" s="27" t="s">
        <v>2</v>
      </c>
      <c r="H4" s="28" t="s">
        <v>3</v>
      </c>
      <c r="I4" s="29" t="s">
        <v>43</v>
      </c>
      <c r="J4" s="209" t="s">
        <v>55</v>
      </c>
      <c r="L4" s="205" t="s">
        <v>5</v>
      </c>
      <c r="M4" s="206" t="s">
        <v>6</v>
      </c>
      <c r="N4" s="205" t="s">
        <v>5</v>
      </c>
      <c r="O4" s="207" t="s">
        <v>6</v>
      </c>
      <c r="P4" s="208" t="s">
        <v>5</v>
      </c>
      <c r="Q4" s="207" t="s">
        <v>6</v>
      </c>
      <c r="R4" s="206" t="s">
        <v>6</v>
      </c>
      <c r="S4" s="205" t="s">
        <v>5</v>
      </c>
      <c r="T4" s="207" t="s">
        <v>6</v>
      </c>
      <c r="U4" s="212" t="s">
        <v>1</v>
      </c>
      <c r="V4" s="213" t="s">
        <v>2</v>
      </c>
      <c r="W4" s="214" t="s">
        <v>3</v>
      </c>
      <c r="X4" s="38" t="s">
        <v>43</v>
      </c>
      <c r="Y4" s="215" t="s">
        <v>55</v>
      </c>
      <c r="Z4" s="32" t="s">
        <v>1</v>
      </c>
      <c r="AA4" s="33" t="s">
        <v>2</v>
      </c>
      <c r="AB4" s="34" t="s">
        <v>2</v>
      </c>
      <c r="AC4" s="35" t="s">
        <v>3</v>
      </c>
      <c r="AD4" s="36" t="s">
        <v>3</v>
      </c>
      <c r="AE4" s="37" t="s">
        <v>43</v>
      </c>
      <c r="AF4" s="36" t="s">
        <v>3</v>
      </c>
      <c r="AG4" s="204" t="s">
        <v>55</v>
      </c>
      <c r="AH4" s="38" t="s">
        <v>43</v>
      </c>
    </row>
    <row r="5" spans="1:37" ht="19.75" customHeight="1" thickBot="1">
      <c r="A5" s="118" t="s">
        <v>21</v>
      </c>
      <c r="B5" s="137" t="s">
        <v>7</v>
      </c>
      <c r="C5" s="292" t="s">
        <v>28</v>
      </c>
      <c r="D5" s="293"/>
      <c r="E5" s="190" t="s">
        <v>24</v>
      </c>
      <c r="F5" s="111">
        <v>35</v>
      </c>
      <c r="G5" s="112">
        <v>30</v>
      </c>
      <c r="H5" s="113">
        <v>25</v>
      </c>
      <c r="I5" s="102">
        <v>20</v>
      </c>
      <c r="J5" s="200">
        <v>17</v>
      </c>
      <c r="L5" s="40">
        <f>IF($E5=0," ",IF($E5=$D$31,VLOOKUP($C5,'Valeurs Règlement Campagne'!$A$4:$AB$7,14,FALSE),VLOOKUP($C5,'Valeurs Règlement Campagne'!$A$4:$M$7,4,FALSE)))</f>
        <v>35</v>
      </c>
      <c r="M5" s="41">
        <f>IF($E5=0," ",IF($E5=$D$31,VLOOKUP($C5,'Valeurs Règlement Campagne'!$A$4:$AB$7,16,FALSE),VLOOKUP($C5,'Valeurs Règlement Campagne'!$A$4:$AB$7,5,FALSE)))</f>
        <v>45</v>
      </c>
      <c r="N5" s="40">
        <f>IF($E5=0," ",IF($E5=$D$31,VLOOKUP($C5,'Valeurs Règlement Campagne'!$A$4:$AB$7,17,FALSE),VLOOKUP($C5,'Valeurs Règlement Campagne'!$A$4:$AB$7,6,FALSE)))</f>
        <v>30</v>
      </c>
      <c r="O5" s="42">
        <f>IF($E5=0," ",IF($E5=$D$31,VLOOKUP($C5,'Valeurs Règlement Campagne'!$A$4:$AB$7,19,FALSE),VLOOKUP($C5,'Valeurs Règlement Campagne'!$A$4:$AB$7,7,FALSE)))</f>
        <v>40</v>
      </c>
      <c r="P5" s="43">
        <f>IF($E5=0," ",IF($E5=$D$31,VLOOKUP($C5,'Valeurs Règlement Campagne'!$A$4:$AB$7,20,FALSE),VLOOKUP($C5,'Valeurs Règlement Campagne'!$A$4:$AB$7,8,FALSE)))</f>
        <v>20</v>
      </c>
      <c r="Q5" s="42">
        <f>IF($E5=0," ",IF($E5=$D$31,VLOOKUP($C5,'Valeurs Règlement Campagne'!$A$4:$AB$7,22,FALSE),VLOOKUP($C5,'Valeurs Règlement Campagne'!$A$4:$AB$7,9,FALSE)))</f>
        <v>30</v>
      </c>
      <c r="R5" s="42">
        <f>IF($E5=0," ",IF($E5=$D$31,VLOOKUP($C5,'Valeurs Règlement Campagne'!$A$4:$AB$7,25,FALSE),VLOOKUP($C5,'Valeurs Règlement Campagne'!$A$4:$AB$7,11,FALSE)))</f>
        <v>30</v>
      </c>
      <c r="S5" s="40">
        <f>IF($E5=0," ",IF($E5=$D$31,VLOOKUP($C5,'Valeurs Règlement Campagne'!$A$4:$AB$7,26,FALSE),VLOOKUP($C5,'Valeurs Règlement Campagne'!$A$4:$AB$7,12,FALSE)))</f>
        <v>15</v>
      </c>
      <c r="T5" s="41">
        <f>IF($E5=0," ",IF($E5=$D$31,VLOOKUP($C5,'Valeurs Règlement Campagne'!$A$4:$AB$7,28,FALSE),VLOOKUP($C5,'Valeurs Règlement Campagne'!$A$4:$AB$7,13,FALSE)))</f>
        <v>20</v>
      </c>
      <c r="U5" s="95" t="b" cm="1">
        <f t="array" ref="U5">IF(C5=0," ",IF(AND(E5="Connues",AH5&lt;&gt;"",COUNTIFS(AH$6:AH$29,AH5,C$6:C$29,C5)&gt;1),"Doublon",IF(AND(E5="Connues",SUMPRODUCT((E$6:E$29="Connues")*(C$6:C$29=C5)*(ROW($6:$29)&lt;&gt;ROW())*(ABS(F$6:F$29-F5)&lt;=2)*((ABS(F$6:F$29-VLOOKUP(C5,'Valeurs Règlement Campagne'!$A$4:$AB$7,14,FALSE))&lt;=2)+(ABS(F$6:F$29-VLOOKUP(C5,'Valeurs Règlement Campagne'!$A$4:$AB$7,15,FALSE))&lt;=2)+(ABS(F$6:F$29-VLOOKUP(C5,'Valeurs Règlement Campagne'!$A$4:$AB$7,16,FALSE))&lt;=2)))&gt;0),"Doublon",IF($C5=0," ",IF(F5=0," ",IF(E5="Inconnues",AND(F5&gt;=L5,F5&lt;=M5),IF(AND('Valeurs Règlement Campagne'!$L$14="OUI",E5="Connues"),AND(F5&gt;=L5-2,F5&lt;=M5+2),OR(F5=L5,F5=L5+5,F5=M5))))))))</f>
        <v>1</v>
      </c>
      <c r="V5" s="96" t="b" cm="1">
        <f t="array" ref="V5">IF(C5=0," ",IF(AND(E5="Connues",AH5&lt;&gt;"",COUNTIFS(AH$6:AH$29,AH5,C$6:C$29,C5)&gt;1),"Doublon",IF(AND(E5="Connues",SUMPRODUCT((E$6:E$29="Connues")*(C$6:C$29=C5)*(ROW($6:$29)&lt;&gt;ROW())*(ABS(G$6:G$29-G5)&lt;=2)*((ABS(G$6:G$29-VLOOKUP(C5,'Valeurs Règlement Campagne'!$A$4:$AB$7,17,FALSE))&lt;=2)+(ABS(G$6:G$29-VLOOKUP(C5,'Valeurs Règlement Campagne'!$A$4:$AB$7,18,FALSE))&lt;=2)+(ABS(G$6:G$29-VLOOKUP(C5,'Valeurs Règlement Campagne'!$A$4:$AB$7,19,FALSE))&lt;=2)))&gt;0),"Doublon",IF($C5=0," ",IF(G5=0," ",IF(E5="Inconnues",AND(G5&gt;=N5,G5&lt;=O5),IF(AND('Valeurs Règlement Campagne'!$L$14="OUI",E5="Connues"),AND(G5&gt;=N5-2,G5&lt;=O5+2),OR(G5=N5,G5=N5+5,G5=O5))))))))</f>
        <v>1</v>
      </c>
      <c r="W5" s="96" t="b" cm="1">
        <f t="array" ref="W5">IF(C5=0," ",IF(AND(E5="Connues",AE5&lt;&gt;"",COUNTIFS(AE$6:AE$29,AE5,C$6:C$29,C5)&gt;1),"Doublon",IF(AND(E5="Connues",SUMPRODUCT((E$6:E$29="Connues")*(C$6:C$29=C5)*(ROW($6:$29)&lt;&gt;ROW())*(ABS(H$6:H$29-H5)&lt;=2)*((ABS(H$6:H$29-VLOOKUP(C5,'Valeurs Règlement Campagne'!$A$4:$AB$7,20,FALSE))&lt;=2)+(ABS(H$6:H$29-VLOOKUP(C5,'Valeurs Règlement Campagne'!$A$4:$AB$7,21,FALSE))&lt;=2)+(ABS(H$6:H$29-VLOOKUP(C5,'Valeurs Règlement Campagne'!$A$4:$AB$7,22,FALSE))&lt;=2)))&gt;0),"Doublon",IF($C5=0," ",IF(H5=0," ",IF(E5="Inconnues",AND(H5&gt;=P5,H5&lt;=Q5),IF(AND('Valeurs Règlement Campagne'!$L$14="OUI",E5="Connues"),AND(H5&gt;=P5-2,H5&lt;=Q5+2),OR(H5=P5,H5=P5+5,H5=P5))))))))</f>
        <v>1</v>
      </c>
      <c r="X5" s="96" t="b" cm="1">
        <f t="array" ref="X5">IF(C5=0," ",IF(AND(E5="Connues",AH5&lt;&gt;"",COUNTIFS(AH$6:AH$29,AH5,C$6:C$29,C5)&gt;1),"Doublon",IF(AND(E5="Connues",SUMPRODUCT((E$6:E$29="Connues")*(C$6:C$29=C5)*(ROW($6:$29)&lt;&gt;ROW())*(ABS(I$6:I$29-I5)&lt;=2)*((ABS(I$6:I$29-VLOOKUP(C5,'Valeurs Règlement Campagne'!$A$4:$AB$7,23,FALSE))&lt;=2)+(ABS(I$6:I$29-VLOOKUP(C5,'Valeurs Règlement Campagne'!$A$4:$AB$7,24,FALSE))&lt;=2)+(ABS(I$6:I$29-VLOOKUP(C5,'Valeurs Règlement Campagne'!$A$4:$AB$7,25,FALSE))&lt;=2)))&gt;0),"Doublon",IF($C5=0," ",IF(I5=0," ",IF(E5="Inconnues",AND(I5&gt;=P5,I5&lt;=R5),IF(AND('Valeurs Règlement Campagne'!$L$14="OUI",E5="Connues"),AND(I5&gt;=P5-2,I5&lt;=R5+2),OR(I5=P5,I5=P5+5,I5=P5))))))))</f>
        <v>1</v>
      </c>
      <c r="Y5" s="216" t="b" cm="1">
        <f t="array" ref="Y5">IF(C5=0," ",IF(AND(E5="Connues",AH5&lt;&gt;"",COUNTIFS(AH$6:AH$29,AH5,C$6:C$29,C5)&gt;1),"Doublon",IF(AND(E5="Connues",SUMPRODUCT((E$6:E$29="Connues")*(C$6:C$29=C5)*(ROW($6:$29)&lt;&gt;ROW())*(ABS(J$6:J$29-J5)&lt;=2)*((ABS(J$6:J$29-VLOOKUP(C5,'Valeurs Règlement Campagne'!$A$4:$AB$7,26,FALSE))&lt;=2)+(ABS(J$6:J$29-VLOOKUP(C5,'Valeurs Règlement Campagne'!$A$4:$AB$7,27,FALSE))&lt;=2)+(ABS(J$6:J$29-VLOOKUP(C5,'Valeurs Règlement Campagne'!$A$4:$AB$7,28,FALSE))&lt;=2)))&gt;0),"Doublon",IF($C5=0," ",IF(J5=0," ",IF(E5="Inconnues",AND(J5&gt;=S5,J5&lt;=T5),IF(AND('Valeurs Règlement Campagne'!$L$14="OUI",E5="Connues"),AND(J5&gt;=S5-2,J5&lt;=T5+2),OR(J5=S5,J5=S5+5,J5=S5))))))))</f>
        <v>1</v>
      </c>
      <c r="Z5" s="236" t="str">
        <f>IF(OR(U5="Doublon",V5="Doublon"),"Doublon",IF(F5=0," ",IF(F5&gt;=G5,IF(AND(U5=TRUE,V5=TRUE),"ok","faux"),"faux")))</f>
        <v>ok</v>
      </c>
      <c r="AA5" s="237"/>
      <c r="AB5" s="237" t="str">
        <f t="shared" ref="AB5:AB29" si="0">IF(OR(V5="Doublon",W5="Doublon"),"Doublon",IF(G5=0," ",IF(G5&gt;=H5,IF(AND(V5=TRUE,W5=TRUE),"ok","faux"),"faux")))</f>
        <v>ok</v>
      </c>
      <c r="AC5" s="237"/>
      <c r="AD5" s="237" t="str">
        <f t="shared" ref="AD5:AD29" si="1">IF(OR(W5="Doublon",X5="Doublon"),"Doublon",IF(OR(H5=0,I5=0)," ",IF(H5&gt;=I5,IF(AND(W5=TRUE,X5=TRUE),"ok","faux"),"faux")))</f>
        <v>ok</v>
      </c>
      <c r="AE5" s="237"/>
      <c r="AF5" s="237" t="str">
        <f>IF(OR(X5="Doublon",Y5="Doublon"),"Doublon",IF(OR(I5=0,J5=0)," ",IF(I5&gt;=J5,IF(AND(X5=TRUE,Y5=TRUE),"ok","faux"),"faux")))</f>
        <v>ok</v>
      </c>
      <c r="AG5" s="238"/>
      <c r="AH5" s="97" t="str">
        <f t="shared" ref="AH5:AH29" si="2">IF(AND(E5="Inconnues",LEFT(C5,1)="1",I5&gt;0),"Obligatoire",
IF(AND(E5="Connues",LEFT(C5,1)="1",I5&gt;=0),"Possible",
IF(AND(E5="Inconnues",LEFT(C5,1)="1",I5=0),"Manque orange","")))</f>
        <v>Possible</v>
      </c>
      <c r="AI5" s="44">
        <f>IF(
  E5="Connues",
  IF(
    ABS(F5 - VLOOKUP(C5,'Valeurs Règlement Campagne'!$A$4:$V$7,12,FALSE))&lt;=2,
    VLOOKUP(C5,'Valeurs Règlement Campagne'!$A$4:$V$7,12,FALSE),
    IF(
      ABS(F5 - VLOOKUP(C5,'Valeurs Règlement Campagne'!$A$4:$V$7,13,FALSE))&lt;=2,
      VLOOKUP(C5,'Valeurs Règlement Campagne'!$A$4:$V$7,13,FALSE),
      IF(
        ABS(F5 - VLOOKUP(C5,'Valeurs Règlement Campagne'!$A$4:$V$7,14,FALSE))&lt;=2,
        VLOOKUP(C5,'Valeurs Règlement Campagne'!$A$4:$V$7,14,FALSE),
        ""
      )
    )
  ),
  ""
)</f>
        <v>35</v>
      </c>
      <c r="AJ5" s="44">
        <f>IF(
  E5="Connues",
  IF(
    ABS(G5 - VLOOKUP(C5,'Valeurs Règlement Campagne'!$A$4:$V$7,15,FALSE))&lt;=2,
    VLOOKUP(C5,'Valeurs Règlement Campagne'!$A$4:$V$7,15,FALSE),
    IF(
      ABS(G5 - VLOOKUP(C5,'Valeurs Règlement Campagne'!$A$4:$V$7,16,FALSE))&lt;=2,
      VLOOKUP(C5,'Valeurs Règlement Campagne'!$A$4:$V$7,16,FALSE),
      IF(
        ABS(G5 - VLOOKUP(C5,'Valeurs Règlement Campagne'!$A$4:$V$7,17,FALSE))&lt;=2,
        VLOOKUP(C5,'Valeurs Règlement Campagne'!$A$4:$V$7,17,FALSE),
        ""
      )
    )
  ),
  ""
)</f>
        <v>30</v>
      </c>
      <c r="AK5" s="44" t="str">
        <f>IF(
  E5="Connues",
  IF(
    ABS(H5 - VLOOKUP(C5,'Valeurs Règlement Campagne'!$A$4:$V$7,15,FALSE))&lt;=2,
    VLOOKUP(C5,'Valeurs Règlement Campagne'!$A$4:$V$7,15,FALSE),
    IF(
      ABS(H5 - VLOOKUP(C5,'Valeurs Règlement Campagne'!$A$4:$V$7,16,FALSE))&lt;=2,
      VLOOKUP(C5,'Valeurs Règlement Campagne'!$A$4:$V$7,16,FALSE),
      IF(
        ABS(H5 - VLOOKUP(C5,'Valeurs Règlement Campagne'!$A$4:$V$7,17,FALSE))&lt;=2,
        VLOOKUP(C5,'Valeurs Règlement Campagne'!$A$4:$V$7,17,FALSE),
        ""
      )
    )
  ),
  ""
)</f>
        <v/>
      </c>
    </row>
    <row r="6" spans="1:37" ht="20.75" customHeight="1" thickBot="1">
      <c r="A6" s="192">
        <v>1</v>
      </c>
      <c r="B6" s="193"/>
      <c r="C6" s="294"/>
      <c r="D6" s="294"/>
      <c r="E6" s="194"/>
      <c r="F6" s="187"/>
      <c r="G6" s="103"/>
      <c r="H6" s="104"/>
      <c r="I6" s="184"/>
      <c r="J6" s="201"/>
      <c r="L6" s="46" t="str">
        <f>IF($E6=0," ",IF($E6=$D$31,VLOOKUP($C6,'Valeurs Règlement Campagne'!$A$4:$AB$7,14,FALSE),VLOOKUP($C6,'Valeurs Règlement Campagne'!$A$4:$M$7,4,FALSE)))</f>
        <v xml:space="preserve"> </v>
      </c>
      <c r="M6" s="47" t="str">
        <f>IF($E6=0," ",IF($E6=$D$31,VLOOKUP($C6,'Valeurs Règlement Campagne'!$A$4:$AB$7,16,FALSE),VLOOKUP($C6,'Valeurs Règlement Campagne'!$A$4:$AB$7,5,FALSE)))</f>
        <v xml:space="preserve"> </v>
      </c>
      <c r="N6" s="46" t="str">
        <f>IF($E6=0," ",IF($E6=$D$31,VLOOKUP($C6,'Valeurs Règlement Campagne'!$A$4:$AB$7,17,FALSE),VLOOKUP($C6,'Valeurs Règlement Campagne'!$A$4:$AB$7,6,FALSE)))</f>
        <v xml:space="preserve"> </v>
      </c>
      <c r="O6" s="48" t="str">
        <f>IF($E6=0," ",IF($E6=$D$31,VLOOKUP($C6,'Valeurs Règlement Campagne'!$A$4:$AB$7,19,FALSE),VLOOKUP($C6,'Valeurs Règlement Campagne'!$A$4:$AB$7,7,FALSE)))</f>
        <v xml:space="preserve"> </v>
      </c>
      <c r="P6" s="49" t="str">
        <f>IF($E6=0," ",IF($E6=$D$31,VLOOKUP($C6,'Valeurs Règlement Campagne'!$A$4:$AB$7,20,FALSE),VLOOKUP($C6,'Valeurs Règlement Campagne'!$A$4:$AB$7,8,FALSE)))</f>
        <v xml:space="preserve"> </v>
      </c>
      <c r="Q6" s="48" t="str">
        <f>IF($E6=0," ",IF($E6=$D$31,VLOOKUP($C6,'Valeurs Règlement Campagne'!$A$4:$AB$7,22,FALSE),VLOOKUP($C6,'Valeurs Règlement Campagne'!$A$4:$AB$7,9,FALSE)))</f>
        <v xml:space="preserve"> </v>
      </c>
      <c r="R6" s="50" t="str">
        <f>IF($E6=0," ",IF($E6=$D$31,VLOOKUP($C6,'Valeurs Règlement Campagne'!$A$4:$AB$7,25,FALSE),VLOOKUP($C6,'Valeurs Règlement Campagne'!$A$4:$AB$7,11,FALSE)))</f>
        <v xml:space="preserve"> </v>
      </c>
      <c r="S6" s="46" t="str">
        <f>IF($E6=0," ",IF($E6=$D$31,VLOOKUP($C6,'Valeurs Règlement Campagne'!$A$4:$AB$7,26,FALSE),VLOOKUP($C6,'Valeurs Règlement Campagne'!$A$4:$AB$7,12,FALSE)))</f>
        <v xml:space="preserve"> </v>
      </c>
      <c r="T6" s="47" t="str">
        <f>IF($E6=0," ",IF($E6=$D$31,VLOOKUP($C6,'Valeurs Règlement Campagne'!$A$4:$AB$7,28,FALSE),VLOOKUP($C6,'Valeurs Règlement Campagne'!$A$4:$AB$7,13,FALSE)))</f>
        <v xml:space="preserve"> </v>
      </c>
      <c r="U6" s="124" t="str" cm="1">
        <f t="array" ref="U6">IF(C6=0," ",IF(AND(E6="Connues",AH6&lt;&gt;"",COUNTIFS(AH$6:AH$29,AH6,C$6:C$29,C6)&gt;1),"Doublon",IF(AND(E6="Connues",SUMPRODUCT((E$6:E$29="Connues")*(C$6:C$29=C6)*(ROW($6:$29)&lt;&gt;ROW())*(ABS(F$6:F$29-F6)&lt;=2)*((ABS(F$6:F$29-VLOOKUP(C6,'Valeurs Règlement Campagne'!$A$4:$AB$7,14,FALSE))&lt;=2)+(ABS(F$6:F$29-VLOOKUP(C6,'Valeurs Règlement Campagne'!$A$4:$AB$7,15,FALSE))&lt;=2)+(ABS(F$6:F$29-VLOOKUP(C6,'Valeurs Règlement Campagne'!$A$4:$AB$7,16,FALSE))&lt;=2)))&gt;0),"Doublon",IF($C6=0," ",IF(F6=0," ",IF(E6="Inconnues",AND(F6&gt;=L6,F6&lt;=M6),IF(AND('Valeurs Règlement Campagne'!$L$14="OUI",E6="Connues"),AND(F6&gt;=L6-2,F6&lt;=M6+2),OR(F6=L6,F6=L6+5,F6=M6))))))))</f>
        <v xml:space="preserve"> </v>
      </c>
      <c r="V6" s="125" t="str" cm="1">
        <f t="array" ref="V6">IF(C6=0," ",IF(AND(E6="Connues",AH6&lt;&gt;"",COUNTIFS(AH$6:AH$29,AH6,C$6:C$29,C6)&gt;1),"Doublon",IF(AND(E6="Connues",SUMPRODUCT((E$6:E$29="Connues")*(C$6:C$29=C6)*(ROW($6:$29)&lt;&gt;ROW())*(ABS(G$6:G$29-G6)&lt;=2)*((ABS(G$6:G$29-VLOOKUP(C6,'Valeurs Règlement Campagne'!$A$4:$AB$7,17,FALSE))&lt;=2)+(ABS(G$6:G$29-VLOOKUP(C6,'Valeurs Règlement Campagne'!$A$4:$AB$7,18,FALSE))&lt;=2)+(ABS(G$6:G$29-VLOOKUP(C6,'Valeurs Règlement Campagne'!$A$4:$AB$7,19,FALSE))&lt;=2)))&gt;0),"Doublon",IF($C6=0," ",IF(G6=0," ",IF(E6="Inconnues",AND(G6&gt;=N6,G6&lt;=O6),IF(AND('Valeurs Règlement Campagne'!$L$14="OUI",E6="Connues"),AND(G6&gt;=N6-2,G6&lt;=O6+2),OR(G6=N6,G6=N6+5,G6=O6))))))))</f>
        <v xml:space="preserve"> </v>
      </c>
      <c r="W6" s="125" t="str" cm="1">
        <f t="array" ref="W6">IF(C6=0," ",IF(AND(E6="Connues",AE6&lt;&gt;"",COUNTIFS(AE$6:AE$29,AE6,C$6:C$29,C6)&gt;1),"Doublon",IF(AND(E6="Connues",SUMPRODUCT((E$6:E$29="Connues")*(C$6:C$29=C6)*(ROW($6:$29)&lt;&gt;ROW())*(ABS(H$6:H$29-H6)&lt;=2)*((ABS(H$6:H$29-VLOOKUP(C6,'Valeurs Règlement Campagne'!$A$4:$AB$7,20,FALSE))&lt;=2)+(ABS(H$6:H$29-VLOOKUP(C6,'Valeurs Règlement Campagne'!$A$4:$AB$7,21,FALSE))&lt;=2)+(ABS(H$6:H$29-VLOOKUP(C6,'Valeurs Règlement Campagne'!$A$4:$AB$7,22,FALSE))&lt;=2)))&gt;0),"Doublon",IF($C6=0," ",IF(H6=0," ",IF(E6="Inconnues",AND(H6&gt;=P6,H6&lt;=Q6),IF(AND('Valeurs Règlement Campagne'!$L$14="OUI",E6="Connues"),AND(H6&gt;=P6-2,H6&lt;=Q6+2),OR(H6=P6,H6=P6+5,H6=P6))))))))</f>
        <v xml:space="preserve"> </v>
      </c>
      <c r="X6" s="125" t="str" cm="1">
        <f t="array" ref="X6">IF(C6=0," ",IF(AND(E6="Connues",AH6&lt;&gt;"",COUNTIFS(AH$6:AH$29,AH6,C$6:C$29,C6)&gt;1),"Doublon",IF(AND(E6="Connues",SUMPRODUCT((E$6:E$29="Connues")*(C$6:C$29=C6)*(ROW($6:$29)&lt;&gt;ROW())*(ABS(I$6:I$29-I6)&lt;=2)*((ABS(I$6:I$29-VLOOKUP(C6,'Valeurs Règlement Campagne'!$A$4:$AB$7,23,FALSE))&lt;=2)+(ABS(I$6:I$29-VLOOKUP(C6,'Valeurs Règlement Campagne'!$A$4:$AB$7,24,FALSE))&lt;=2)+(ABS(I$6:I$29-VLOOKUP(C6,'Valeurs Règlement Campagne'!$A$4:$AB$7,25,FALSE))&lt;=2)))&gt;0),"Doublon",IF($C6=0," ",IF(I6=0," ",IF(E6="Inconnues",AND(I6&gt;=P6,I6&lt;=R6),IF(AND('Valeurs Règlement Campagne'!$L$14="OUI",E6="Connues"),AND(I6&gt;=P6-2,I6&lt;=R6+2),OR(I6=P6,I6=P6+5,I6=P6))))))))</f>
        <v xml:space="preserve"> </v>
      </c>
      <c r="Y6" s="217" t="str" cm="1">
        <f t="array" ref="Y6">IF(C6=0," ",IF(AND(E6="Connues",AH6&lt;&gt;"",COUNTIFS(AH$6:AH$29,AH6,C$6:C$29,C6)&gt;1),"Doublon",IF(AND(E6="Connues",SUMPRODUCT((E$6:E$29="Connues")*(C$6:C$29=C6)*(ROW($6:$29)&lt;&gt;ROW())*(ABS(J$6:J$29-J6)&lt;=2)*((ABS(J$6:J$29-VLOOKUP(C6,'Valeurs Règlement Campagne'!$A$4:$AB$7,26,FALSE))&lt;=2)+(ABS(J$6:J$29-VLOOKUP(C6,'Valeurs Règlement Campagne'!$A$4:$AB$7,27,FALSE))&lt;=2)+(ABS(J$6:J$29-VLOOKUP(C6,'Valeurs Règlement Campagne'!$A$4:$AB$7,28,FALSE))&lt;=2)))&gt;0),"Doublon",IF($C6=0," ",IF(J6=0," ",IF(E6="Inconnues",AND(J6&gt;=S6,J6&lt;=T6),IF(AND('Valeurs Règlement Campagne'!$L$14="OUI",E6="Connues"),AND(J6&gt;=S6-2,J6&lt;=T6+2),OR(J6=S6,J6=S6+5,J6=S6))))))))</f>
        <v xml:space="preserve"> </v>
      </c>
      <c r="Z6" s="239" t="str">
        <f t="shared" ref="Z6:Z29" si="3">IF(OR(U6="Doublon",V6="Doublon"),"Doublon",IF(F6=0," ",IF(F6&gt;=G6,IF(AND(U6=TRUE,V6=TRUE),"ok","faux"),"faux")))</f>
        <v xml:space="preserve"> </v>
      </c>
      <c r="AA6" s="240"/>
      <c r="AB6" s="240" t="str">
        <f t="shared" si="0"/>
        <v xml:space="preserve"> </v>
      </c>
      <c r="AC6" s="240"/>
      <c r="AD6" s="240" t="str">
        <f t="shared" si="1"/>
        <v xml:space="preserve"> </v>
      </c>
      <c r="AE6" s="240"/>
      <c r="AF6" s="240" t="str">
        <f t="shared" ref="AF6:AF29" si="4">IF(OR(X6="Doublon",Y6="Doublon"),"Doublon",IF(OR(I6=0,J6=0)," ",IF(I6&gt;=J6,IF(AND(X6=TRUE,Y6=TRUE),"ok","faux"),"faux")))</f>
        <v xml:space="preserve"> </v>
      </c>
      <c r="AG6" s="241"/>
      <c r="AH6" s="51" t="str">
        <f t="shared" si="2"/>
        <v/>
      </c>
      <c r="AI6" s="44" t="str">
        <f>IF(
  E6="Connues",
  IF(
    ABS(F6 - VLOOKUP(C6,'Valeurs Règlement Campagne'!$A$4:$V$7,12,FALSE))&lt;=2,
    VLOOKUP(C6,'Valeurs Règlement Campagne'!$A$4:$V$7,12,FALSE),
    IF(
      ABS(F6 - VLOOKUP(C6,'Valeurs Règlement Campagne'!$A$4:$V$7,13,FALSE))&lt;=2,
      VLOOKUP(C6,'Valeurs Règlement Campagne'!$A$4:$V$7,13,FALSE),
      IF(
        ABS(F6 - VLOOKUP(C6,'Valeurs Règlement Campagne'!$A$4:$V$7,14,FALSE))&lt;=2,
        VLOOKUP(C6,'Valeurs Règlement Campagne'!$A$4:$V$7,14,FALSE),
        ""
      )
    )
  ),
  ""
)</f>
        <v/>
      </c>
      <c r="AJ6" s="44" t="str">
        <f>IF(
  E6="Connues",
  IF(
    ABS(G6 - VLOOKUP(C6,'Valeurs Règlement Campagne'!$A$4:$V$7,15,FALSE))&lt;=2,
    VLOOKUP(C6,'Valeurs Règlement Campagne'!$A$4:$V$7,15,FALSE),
    IF(
      ABS(G6 - VLOOKUP(C6,'Valeurs Règlement Campagne'!$A$4:$V$7,16,FALSE))&lt;=2,
      VLOOKUP(C6,'Valeurs Règlement Campagne'!$A$4:$V$7,16,FALSE),
      IF(
        ABS(G6 - VLOOKUP(C6,'Valeurs Règlement Campagne'!$A$4:$V$7,17,FALSE))&lt;=2,
        VLOOKUP(C6,'Valeurs Règlement Campagne'!$A$4:$V$7,17,FALSE),
        ""
      )
    )
  ),
  ""
)</f>
        <v/>
      </c>
      <c r="AK6" s="44" t="str">
        <f>IF(
  E6="Connues",
  IF(
    ABS(H6 - VLOOKUP(C6,'Valeurs Règlement Campagne'!$A$4:$V$7,15,FALSE))&lt;=2,
    VLOOKUP(C6,'Valeurs Règlement Campagne'!$A$4:$V$7,15,FALSE),
    IF(
      ABS(H6 - VLOOKUP(C6,'Valeurs Règlement Campagne'!$A$4:$V$7,16,FALSE))&lt;=2,
      VLOOKUP(C6,'Valeurs Règlement Campagne'!$A$4:$V$7,16,FALSE),
      IF(
        ABS(H6 - VLOOKUP(C6,'Valeurs Règlement Campagne'!$A$4:$V$7,17,FALSE))&lt;=2,
        VLOOKUP(C6,'Valeurs Règlement Campagne'!$A$4:$V$7,17,FALSE),
        ""
      )
    )
  ),
  ""
)</f>
        <v/>
      </c>
    </row>
    <row r="7" spans="1:37" ht="20.75" customHeight="1" thickBot="1">
      <c r="A7" s="195">
        <v>2</v>
      </c>
      <c r="B7" s="191"/>
      <c r="C7" s="291"/>
      <c r="D7" s="291"/>
      <c r="E7" s="196"/>
      <c r="F7" s="188"/>
      <c r="G7" s="105"/>
      <c r="H7" s="106"/>
      <c r="I7" s="185"/>
      <c r="J7" s="202"/>
      <c r="L7" s="46" t="str">
        <f>IF($E7=0," ",IF($E7=$D$31,VLOOKUP($C7,'Valeurs Règlement Campagne'!$A$4:$AB$7,14,FALSE),VLOOKUP($C7,'Valeurs Règlement Campagne'!$A$4:$M$7,4,FALSE)))</f>
        <v xml:space="preserve"> </v>
      </c>
      <c r="M7" s="47" t="str">
        <f>IF($E7=0," ",IF($E7=$D$31,VLOOKUP($C7,'Valeurs Règlement Campagne'!$A$4:$AB$7,16,FALSE),VLOOKUP($C7,'Valeurs Règlement Campagne'!$A$4:$AB$7,5,FALSE)))</f>
        <v xml:space="preserve"> </v>
      </c>
      <c r="N7" s="46" t="str">
        <f>IF($E7=0," ",IF($E7=$D$31,VLOOKUP($C7,'Valeurs Règlement Campagne'!$A$4:$AB$7,17,FALSE),VLOOKUP($C7,'Valeurs Règlement Campagne'!$A$4:$AB$7,6,FALSE)))</f>
        <v xml:space="preserve"> </v>
      </c>
      <c r="O7" s="48" t="str">
        <f>IF($E7=0," ",IF($E7=$D$31,VLOOKUP($C7,'Valeurs Règlement Campagne'!$A$4:$AB$7,19,FALSE),VLOOKUP($C7,'Valeurs Règlement Campagne'!$A$4:$AB$7,7,FALSE)))</f>
        <v xml:space="preserve"> </v>
      </c>
      <c r="P7" s="49" t="str">
        <f>IF($E7=0," ",IF($E7=$D$31,VLOOKUP($C7,'Valeurs Règlement Campagne'!$A$4:$AB$7,20,FALSE),VLOOKUP($C7,'Valeurs Règlement Campagne'!$A$4:$AB$7,8,FALSE)))</f>
        <v xml:space="preserve"> </v>
      </c>
      <c r="Q7" s="48" t="str">
        <f>IF($E7=0," ",IF($E7=$D$31,VLOOKUP($C7,'Valeurs Règlement Campagne'!$A$4:$AB$7,22,FALSE),VLOOKUP($C7,'Valeurs Règlement Campagne'!$A$4:$AB$7,9,FALSE)))</f>
        <v xml:space="preserve"> </v>
      </c>
      <c r="R7" s="52" t="str">
        <f>IF($E7=0," ",IF($E7=$D$31,VLOOKUP($C7,'Valeurs Règlement Campagne'!$A$4:$AB$7,25,FALSE),VLOOKUP($C7,'Valeurs Règlement Campagne'!$A$4:$AB$7,11,FALSE)))</f>
        <v xml:space="preserve"> </v>
      </c>
      <c r="S7" s="46" t="str">
        <f>IF($E7=0," ",IF($E7=$D$31,VLOOKUP($C7,'Valeurs Règlement Campagne'!$A$4:$AB$7,26,FALSE),VLOOKUP($C7,'Valeurs Règlement Campagne'!$A$4:$AB$7,12,FALSE)))</f>
        <v xml:space="preserve"> </v>
      </c>
      <c r="T7" s="47" t="str">
        <f>IF($E7=0," ",IF($E7=$D$31,VLOOKUP($C7,'Valeurs Règlement Campagne'!$A$4:$AB$7,28,FALSE),VLOOKUP($C7,'Valeurs Règlement Campagne'!$A$4:$AB$7,13,FALSE)))</f>
        <v xml:space="preserve"> </v>
      </c>
      <c r="U7" s="53" t="str" cm="1">
        <f t="array" ref="U7">IF(C7=0," ",IF(AND(E7="Connues",AH7&lt;&gt;"",COUNTIFS(AH$6:AH$29,AH7,C$6:C$29,C7)&gt;1),"Doublon",IF(AND(E7="Connues",SUMPRODUCT((E$6:E$29="Connues")*(C$6:C$29=C7)*(ROW($6:$29)&lt;&gt;ROW())*(ABS(F$6:F$29-F7)&lt;=2)*((ABS(F$6:F$29-VLOOKUP(C7,'Valeurs Règlement Campagne'!$A$4:$AB$7,14,FALSE))&lt;=2)+(ABS(F$6:F$29-VLOOKUP(C7,'Valeurs Règlement Campagne'!$A$4:$AB$7,15,FALSE))&lt;=2)+(ABS(F$6:F$29-VLOOKUP(C7,'Valeurs Règlement Campagne'!$A$4:$AB$7,16,FALSE))&lt;=2)))&gt;0),"Doublon",IF($C7=0," ",IF(F7=0," ",IF(E7="Inconnues",AND(F7&gt;=L7,F7&lt;=M7),IF(AND('Valeurs Règlement Campagne'!$L$14="OUI",E7="Connues"),AND(F7&gt;=L7-2,F7&lt;=M7+2),OR(F7=L7,F7=L7+5,F7=M7))))))))</f>
        <v xml:space="preserve"> </v>
      </c>
      <c r="V7" s="54" t="str" cm="1">
        <f t="array" ref="V7">IF(C7=0," ",IF(AND(E7="Connues",AH7&lt;&gt;"",COUNTIFS(AH$6:AH$29,AH7,C$6:C$29,C7)&gt;1),"Doublon",IF(AND(E7="Connues",SUMPRODUCT((E$6:E$29="Connues")*(C$6:C$29=C7)*(ROW($6:$29)&lt;&gt;ROW())*(ABS(G$6:G$29-G7)&lt;=2)*((ABS(G$6:G$29-VLOOKUP(C7,'Valeurs Règlement Campagne'!$A$4:$AB$7,17,FALSE))&lt;=2)+(ABS(G$6:G$29-VLOOKUP(C7,'Valeurs Règlement Campagne'!$A$4:$AB$7,18,FALSE))&lt;=2)+(ABS(G$6:G$29-VLOOKUP(C7,'Valeurs Règlement Campagne'!$A$4:$AB$7,19,FALSE))&lt;=2)))&gt;0),"Doublon",IF($C7=0," ",IF(G7=0," ",IF(E7="Inconnues",AND(G7&gt;=N7,G7&lt;=O7),IF(AND('Valeurs Règlement Campagne'!$L$14="OUI",E7="Connues"),AND(G7&gt;=N7-2,G7&lt;=O7+2),OR(G7=N7,G7=N7+5,G7=O7))))))))</f>
        <v xml:space="preserve"> </v>
      </c>
      <c r="W7" s="54" t="str" cm="1">
        <f t="array" ref="W7">IF(C7=0," ",IF(AND(E7="Connues",AE7&lt;&gt;"",COUNTIFS(AE$6:AE$29,AE7,C$6:C$29,C7)&gt;1),"Doublon",IF(AND(E7="Connues",SUMPRODUCT((E$6:E$29="Connues")*(C$6:C$29=C7)*(ROW($6:$29)&lt;&gt;ROW())*(ABS(H$6:H$29-H7)&lt;=2)*((ABS(H$6:H$29-VLOOKUP(C7,'Valeurs Règlement Campagne'!$A$4:$AB$7,20,FALSE))&lt;=2)+(ABS(H$6:H$29-VLOOKUP(C7,'Valeurs Règlement Campagne'!$A$4:$AB$7,21,FALSE))&lt;=2)+(ABS(H$6:H$29-VLOOKUP(C7,'Valeurs Règlement Campagne'!$A$4:$AB$7,22,FALSE))&lt;=2)))&gt;0),"Doublon",IF($C7=0," ",IF(H7=0," ",IF(E7="Inconnues",AND(H7&gt;=P7,H7&lt;=Q7),IF(AND('Valeurs Règlement Campagne'!$L$14="OUI",E7="Connues"),AND(H7&gt;=P7-2,H7&lt;=Q7+2),OR(H7=P7,H7=P7+5,H7=P7))))))))</f>
        <v xml:space="preserve"> </v>
      </c>
      <c r="X7" s="54" t="str" cm="1">
        <f t="array" ref="X7">IF(C7=0," ",IF(AND(E7="Connues",AH7&lt;&gt;"",COUNTIFS(AH$6:AH$29,AH7,C$6:C$29,C7)&gt;1),"Doublon",IF(AND(E7="Connues",SUMPRODUCT((E$6:E$29="Connues")*(C$6:C$29=C7)*(ROW($6:$29)&lt;&gt;ROW())*(ABS(I$6:I$29-I7)&lt;=2)*((ABS(I$6:I$29-VLOOKUP(C7,'Valeurs Règlement Campagne'!$A$4:$AB$7,23,FALSE))&lt;=2)+(ABS(I$6:I$29-VLOOKUP(C7,'Valeurs Règlement Campagne'!$A$4:$AB$7,24,FALSE))&lt;=2)+(ABS(I$6:I$29-VLOOKUP(C7,'Valeurs Règlement Campagne'!$A$4:$AB$7,25,FALSE))&lt;=2)))&gt;0),"Doublon",IF($C7=0," ",IF(I7=0," ",IF(E7="Inconnues",AND(I7&gt;=P7,I7&lt;=R7),IF(AND('Valeurs Règlement Campagne'!$L$14="OUI",E7="Connues"),AND(I7&gt;=P7-2,I7&lt;=R7+2),OR(I7=P7,I7=P7+5,I7=P7))))))))</f>
        <v xml:space="preserve"> </v>
      </c>
      <c r="Y7" s="218" t="str" cm="1">
        <f t="array" ref="Y7">IF(C7=0," ",IF(AND(E7="Connues",AH7&lt;&gt;"",COUNTIFS(AH$6:AH$29,AH7,C$6:C$29,C7)&gt;1),"Doublon",IF(AND(E7="Connues",SUMPRODUCT((E$6:E$29="Connues")*(C$6:C$29=C7)*(ROW($6:$29)&lt;&gt;ROW())*(ABS(J$6:J$29-J7)&lt;=2)*((ABS(J$6:J$29-VLOOKUP(C7,'Valeurs Règlement Campagne'!$A$4:$AB$7,26,FALSE))&lt;=2)+(ABS(J$6:J$29-VLOOKUP(C7,'Valeurs Règlement Campagne'!$A$4:$AB$7,27,FALSE))&lt;=2)+(ABS(J$6:J$29-VLOOKUP(C7,'Valeurs Règlement Campagne'!$A$4:$AB$7,28,FALSE))&lt;=2)))&gt;0),"Doublon",IF($C7=0," ",IF(J7=0," ",IF(E7="Inconnues",AND(J7&gt;=S7,J7&lt;=T7),IF(AND('Valeurs Règlement Campagne'!$L$14="OUI",E7="Connues"),AND(J7&gt;=S7-2,J7&lt;=T7+2),OR(J7=S7,J7=S7+5,J7=S7))))))))</f>
        <v xml:space="preserve"> </v>
      </c>
      <c r="Z7" s="235" t="str">
        <f t="shared" si="3"/>
        <v xml:space="preserve"> </v>
      </c>
      <c r="AA7" s="233"/>
      <c r="AB7" s="233" t="str">
        <f t="shared" si="0"/>
        <v xml:space="preserve"> </v>
      </c>
      <c r="AC7" s="233"/>
      <c r="AD7" s="233" t="str">
        <f t="shared" si="1"/>
        <v xml:space="preserve"> </v>
      </c>
      <c r="AE7" s="233"/>
      <c r="AF7" s="233" t="str">
        <f t="shared" si="4"/>
        <v xml:space="preserve"> </v>
      </c>
      <c r="AG7" s="234"/>
      <c r="AH7" s="55" t="str">
        <f t="shared" si="2"/>
        <v/>
      </c>
      <c r="AI7" s="44" t="str">
        <f>IF(
  E7="Connues",
  IF(
    ABS(F7 - VLOOKUP(C7,'Valeurs Règlement Campagne'!$A$4:$V$7,12,FALSE))&lt;=2,
    VLOOKUP(C7,'Valeurs Règlement Campagne'!$A$4:$V$7,12,FALSE),
    IF(
      ABS(F7 - VLOOKUP(C7,'Valeurs Règlement Campagne'!$A$4:$V$7,13,FALSE))&lt;=2,
      VLOOKUP(C7,'Valeurs Règlement Campagne'!$A$4:$V$7,13,FALSE),
      IF(
        ABS(F7 - VLOOKUP(C7,'Valeurs Règlement Campagne'!$A$4:$V$7,14,FALSE))&lt;=2,
        VLOOKUP(C7,'Valeurs Règlement Campagne'!$A$4:$V$7,14,FALSE),
        ""
      )
    )
  ),
  ""
)</f>
        <v/>
      </c>
      <c r="AJ7" s="44" t="str">
        <f>IF(
  E7="Connues",
  IF(
    ABS(G7 - VLOOKUP(C7,'Valeurs Règlement Campagne'!$A$4:$V$7,15,FALSE))&lt;=2,
    VLOOKUP(C7,'Valeurs Règlement Campagne'!$A$4:$V$7,15,FALSE),
    IF(
      ABS(G7 - VLOOKUP(C7,'Valeurs Règlement Campagne'!$A$4:$V$7,16,FALSE))&lt;=2,
      VLOOKUP(C7,'Valeurs Règlement Campagne'!$A$4:$V$7,16,FALSE),
      IF(
        ABS(G7 - VLOOKUP(C7,'Valeurs Règlement Campagne'!$A$4:$V$7,17,FALSE))&lt;=2,
        VLOOKUP(C7,'Valeurs Règlement Campagne'!$A$4:$V$7,17,FALSE),
        ""
      )
    )
  ),
  ""
)</f>
        <v/>
      </c>
      <c r="AK7" s="44" t="str">
        <f>IF(
  E7="Connues",
  IF(
    ABS(H7 - VLOOKUP(C7,'Valeurs Règlement Campagne'!$A$4:$V$7,15,FALSE))&lt;=2,
    VLOOKUP(C7,'Valeurs Règlement Campagne'!$A$4:$V$7,15,FALSE),
    IF(
      ABS(H7 - VLOOKUP(C7,'Valeurs Règlement Campagne'!$A$4:$V$7,16,FALSE))&lt;=2,
      VLOOKUP(C7,'Valeurs Règlement Campagne'!$A$4:$V$7,16,FALSE),
      IF(
        ABS(H7 - VLOOKUP(C7,'Valeurs Règlement Campagne'!$A$4:$V$7,17,FALSE))&lt;=2,
        VLOOKUP(C7,'Valeurs Règlement Campagne'!$A$4:$V$7,17,FALSE),
        ""
      )
    )
  ),
  ""
)</f>
        <v/>
      </c>
    </row>
    <row r="8" spans="1:37" ht="20.75" customHeight="1" thickBot="1">
      <c r="A8" s="195">
        <v>3</v>
      </c>
      <c r="B8" s="191"/>
      <c r="C8" s="291"/>
      <c r="D8" s="291"/>
      <c r="E8" s="196"/>
      <c r="F8" s="188"/>
      <c r="G8" s="105"/>
      <c r="H8" s="106"/>
      <c r="I8" s="185"/>
      <c r="J8" s="202"/>
      <c r="L8" s="46" t="str">
        <f>IF($E8=0," ",IF($E8=$D$31,VLOOKUP($C8,'Valeurs Règlement Campagne'!$A$4:$AB$7,14,FALSE),VLOOKUP($C8,'Valeurs Règlement Campagne'!$A$4:$M$7,4,FALSE)))</f>
        <v xml:space="preserve"> </v>
      </c>
      <c r="M8" s="47" t="str">
        <f>IF($E8=0," ",IF($E8=$D$31,VLOOKUP($C8,'Valeurs Règlement Campagne'!$A$4:$AB$7,16,FALSE),VLOOKUP($C8,'Valeurs Règlement Campagne'!$A$4:$AB$7,5,FALSE)))</f>
        <v xml:space="preserve"> </v>
      </c>
      <c r="N8" s="46" t="str">
        <f>IF($E8=0," ",IF($E8=$D$31,VLOOKUP($C8,'Valeurs Règlement Campagne'!$A$4:$AB$7,17,FALSE),VLOOKUP($C8,'Valeurs Règlement Campagne'!$A$4:$AB$7,6,FALSE)))</f>
        <v xml:space="preserve"> </v>
      </c>
      <c r="O8" s="48" t="str">
        <f>IF($E8=0," ",IF($E8=$D$31,VLOOKUP($C8,'Valeurs Règlement Campagne'!$A$4:$AB$7,19,FALSE),VLOOKUP($C8,'Valeurs Règlement Campagne'!$A$4:$AB$7,7,FALSE)))</f>
        <v xml:space="preserve"> </v>
      </c>
      <c r="P8" s="49" t="str">
        <f>IF($E8=0," ",IF($E8=$D$31,VLOOKUP($C8,'Valeurs Règlement Campagne'!$A$4:$AB$7,20,FALSE),VLOOKUP($C8,'Valeurs Règlement Campagne'!$A$4:$AB$7,8,FALSE)))</f>
        <v xml:space="preserve"> </v>
      </c>
      <c r="Q8" s="48" t="str">
        <f>IF($E8=0," ",IF($E8=$D$31,VLOOKUP($C8,'Valeurs Règlement Campagne'!$A$4:$AB$7,22,FALSE),VLOOKUP($C8,'Valeurs Règlement Campagne'!$A$4:$AB$7,9,FALSE)))</f>
        <v xml:space="preserve"> </v>
      </c>
      <c r="R8" s="52" t="str">
        <f>IF($E8=0," ",IF($E8=$D$31,VLOOKUP($C8,'Valeurs Règlement Campagne'!$A$4:$AB$7,25,FALSE),VLOOKUP($C8,'Valeurs Règlement Campagne'!$A$4:$AB$7,11,FALSE)))</f>
        <v xml:space="preserve"> </v>
      </c>
      <c r="S8" s="46" t="str">
        <f>IF($E8=0," ",IF($E8=$D$31,VLOOKUP($C8,'Valeurs Règlement Campagne'!$A$4:$AB$7,26,FALSE),VLOOKUP($C8,'Valeurs Règlement Campagne'!$A$4:$AB$7,12,FALSE)))</f>
        <v xml:space="preserve"> </v>
      </c>
      <c r="T8" s="47" t="str">
        <f>IF($E8=0," ",IF($E8=$D$31,VLOOKUP($C8,'Valeurs Règlement Campagne'!$A$4:$AB$7,28,FALSE),VLOOKUP($C8,'Valeurs Règlement Campagne'!$A$4:$AB$7,13,FALSE)))</f>
        <v xml:space="preserve"> </v>
      </c>
      <c r="U8" s="53" t="str" cm="1">
        <f t="array" ref="U8">IF(C8=0," ",IF(AND(E8="Connues",AH8&lt;&gt;"",COUNTIFS(AH$6:AH$29,AH8,C$6:C$29,C8)&gt;1),"Doublon",IF(AND(E8="Connues",SUMPRODUCT((E$6:E$29="Connues")*(C$6:C$29=C8)*(ROW($6:$29)&lt;&gt;ROW())*(ABS(F$6:F$29-F8)&lt;=2)*((ABS(F$6:F$29-VLOOKUP(C8,'Valeurs Règlement Campagne'!$A$4:$AB$7,14,FALSE))&lt;=2)+(ABS(F$6:F$29-VLOOKUP(C8,'Valeurs Règlement Campagne'!$A$4:$AB$7,15,FALSE))&lt;=2)+(ABS(F$6:F$29-VLOOKUP(C8,'Valeurs Règlement Campagne'!$A$4:$AB$7,16,FALSE))&lt;=2)))&gt;0),"Doublon",IF($C8=0," ",IF(F8=0," ",IF(E8="Inconnues",AND(F8&gt;=L8,F8&lt;=M8),IF(AND('Valeurs Règlement Campagne'!$L$14="OUI",E8="Connues"),AND(F8&gt;=L8-2,F8&lt;=M8+2),OR(F8=L8,F8=L8+5,F8=M8))))))))</f>
        <v xml:space="preserve"> </v>
      </c>
      <c r="V8" s="54" t="str" cm="1">
        <f t="array" ref="V8">IF(C8=0," ",IF(AND(E8="Connues",AH8&lt;&gt;"",COUNTIFS(AH$6:AH$29,AH8,C$6:C$29,C8)&gt;1),"Doublon",IF(AND(E8="Connues",SUMPRODUCT((E$6:E$29="Connues")*(C$6:C$29=C8)*(ROW($6:$29)&lt;&gt;ROW())*(ABS(G$6:G$29-G8)&lt;=2)*((ABS(G$6:G$29-VLOOKUP(C8,'Valeurs Règlement Campagne'!$A$4:$AB$7,17,FALSE))&lt;=2)+(ABS(G$6:G$29-VLOOKUP(C8,'Valeurs Règlement Campagne'!$A$4:$AB$7,18,FALSE))&lt;=2)+(ABS(G$6:G$29-VLOOKUP(C8,'Valeurs Règlement Campagne'!$A$4:$AB$7,19,FALSE))&lt;=2)))&gt;0),"Doublon",IF($C8=0," ",IF(G8=0," ",IF(E8="Inconnues",AND(G8&gt;=N8,G8&lt;=O8),IF(AND('Valeurs Règlement Campagne'!$L$14="OUI",E8="Connues"),AND(G8&gt;=N8-2,G8&lt;=O8+2),OR(G8=N8,G8=N8+5,G8=O8))))))))</f>
        <v xml:space="preserve"> </v>
      </c>
      <c r="W8" s="54" t="str" cm="1">
        <f t="array" ref="W8">IF(C8=0," ",IF(AND(E8="Connues",AE8&lt;&gt;"",COUNTIFS(AE$6:AE$29,AE8,C$6:C$29,C8)&gt;1),"Doublon",IF(AND(E8="Connues",SUMPRODUCT((E$6:E$29="Connues")*(C$6:C$29=C8)*(ROW($6:$29)&lt;&gt;ROW())*(ABS(H$6:H$29-H8)&lt;=2)*((ABS(H$6:H$29-VLOOKUP(C8,'Valeurs Règlement Campagne'!$A$4:$AB$7,20,FALSE))&lt;=2)+(ABS(H$6:H$29-VLOOKUP(C8,'Valeurs Règlement Campagne'!$A$4:$AB$7,21,FALSE))&lt;=2)+(ABS(H$6:H$29-VLOOKUP(C8,'Valeurs Règlement Campagne'!$A$4:$AB$7,22,FALSE))&lt;=2)))&gt;0),"Doublon",IF($C8=0," ",IF(H8=0," ",IF(E8="Inconnues",AND(H8&gt;=P8,H8&lt;=Q8),IF(AND('Valeurs Règlement Campagne'!$L$14="OUI",E8="Connues"),AND(H8&gt;=P8-2,H8&lt;=Q8+2),OR(H8=P8,H8=P8+5,H8=P8))))))))</f>
        <v xml:space="preserve"> </v>
      </c>
      <c r="X8" s="54" t="str" cm="1">
        <f t="array" ref="X8">IF(C8=0," ",IF(AND(E8="Connues",AH8&lt;&gt;"",COUNTIFS(AH$6:AH$29,AH8,C$6:C$29,C8)&gt;1),"Doublon",IF(AND(E8="Connues",SUMPRODUCT((E$6:E$29="Connues")*(C$6:C$29=C8)*(ROW($6:$29)&lt;&gt;ROW())*(ABS(I$6:I$29-I8)&lt;=2)*((ABS(I$6:I$29-VLOOKUP(C8,'Valeurs Règlement Campagne'!$A$4:$AB$7,23,FALSE))&lt;=2)+(ABS(I$6:I$29-VLOOKUP(C8,'Valeurs Règlement Campagne'!$A$4:$AB$7,24,FALSE))&lt;=2)+(ABS(I$6:I$29-VLOOKUP(C8,'Valeurs Règlement Campagne'!$A$4:$AB$7,25,FALSE))&lt;=2)))&gt;0),"Doublon",IF($C8=0," ",IF(I8=0," ",IF(E8="Inconnues",AND(I8&gt;=P8,I8&lt;=R8),IF(AND('Valeurs Règlement Campagne'!$L$14="OUI",E8="Connues"),AND(I8&gt;=P8-2,I8&lt;=R8+2),OR(I8=P8,I8=P8+5,I8=P8))))))))</f>
        <v xml:space="preserve"> </v>
      </c>
      <c r="Y8" s="218" t="str" cm="1">
        <f t="array" ref="Y8">IF(C8=0," ",IF(AND(E8="Connues",AH8&lt;&gt;"",COUNTIFS(AH$6:AH$29,AH8,C$6:C$29,C8)&gt;1),"Doublon",IF(AND(E8="Connues",SUMPRODUCT((E$6:E$29="Connues")*(C$6:C$29=C8)*(ROW($6:$29)&lt;&gt;ROW())*(ABS(J$6:J$29-J8)&lt;=2)*((ABS(J$6:J$29-VLOOKUP(C8,'Valeurs Règlement Campagne'!$A$4:$AB$7,26,FALSE))&lt;=2)+(ABS(J$6:J$29-VLOOKUP(C8,'Valeurs Règlement Campagne'!$A$4:$AB$7,27,FALSE))&lt;=2)+(ABS(J$6:J$29-VLOOKUP(C8,'Valeurs Règlement Campagne'!$A$4:$AB$7,28,FALSE))&lt;=2)))&gt;0),"Doublon",IF($C8=0," ",IF(J8=0," ",IF(E8="Inconnues",AND(J8&gt;=S8,J8&lt;=T8),IF(AND('Valeurs Règlement Campagne'!$L$14="OUI",E8="Connues"),AND(J8&gt;=S8-2,J8&lt;=T8+2),OR(J8=S8,J8=S8+5,J8=S8))))))))</f>
        <v xml:space="preserve"> </v>
      </c>
      <c r="Z8" s="235" t="str">
        <f t="shared" si="3"/>
        <v xml:space="preserve"> </v>
      </c>
      <c r="AA8" s="233"/>
      <c r="AB8" s="233" t="str">
        <f t="shared" si="0"/>
        <v xml:space="preserve"> </v>
      </c>
      <c r="AC8" s="233"/>
      <c r="AD8" s="233" t="str">
        <f t="shared" si="1"/>
        <v xml:space="preserve"> </v>
      </c>
      <c r="AE8" s="233"/>
      <c r="AF8" s="233" t="str">
        <f t="shared" si="4"/>
        <v xml:space="preserve"> </v>
      </c>
      <c r="AG8" s="234"/>
      <c r="AH8" s="55" t="str">
        <f t="shared" si="2"/>
        <v/>
      </c>
      <c r="AI8" s="44" t="str">
        <f>IF(
  E8="Connues",
  IF(
    ABS(F8 - VLOOKUP(C8,'Valeurs Règlement Campagne'!$A$4:$V$7,12,FALSE))&lt;=2,
    VLOOKUP(C8,'Valeurs Règlement Campagne'!$A$4:$V$7,12,FALSE),
    IF(
      ABS(F8 - VLOOKUP(C8,'Valeurs Règlement Campagne'!$A$4:$V$7,13,FALSE))&lt;=2,
      VLOOKUP(C8,'Valeurs Règlement Campagne'!$A$4:$V$7,13,FALSE),
      IF(
        ABS(F8 - VLOOKUP(C8,'Valeurs Règlement Campagne'!$A$4:$V$7,14,FALSE))&lt;=2,
        VLOOKUP(C8,'Valeurs Règlement Campagne'!$A$4:$V$7,14,FALSE),
        ""
      )
    )
  ),
  ""
)</f>
        <v/>
      </c>
      <c r="AJ8" s="44" t="str">
        <f>IF(
  E8="Connues",
  IF(
    ABS(G8 - VLOOKUP(C8,'Valeurs Règlement Campagne'!$A$4:$V$7,15,FALSE))&lt;=2,
    VLOOKUP(C8,'Valeurs Règlement Campagne'!$A$4:$V$7,15,FALSE),
    IF(
      ABS(G8 - VLOOKUP(C8,'Valeurs Règlement Campagne'!$A$4:$V$7,16,FALSE))&lt;=2,
      VLOOKUP(C8,'Valeurs Règlement Campagne'!$A$4:$V$7,16,FALSE),
      IF(
        ABS(G8 - VLOOKUP(C8,'Valeurs Règlement Campagne'!$A$4:$V$7,17,FALSE))&lt;=2,
        VLOOKUP(C8,'Valeurs Règlement Campagne'!$A$4:$V$7,17,FALSE),
        ""
      )
    )
  ),
  ""
)</f>
        <v/>
      </c>
      <c r="AK8" s="44" t="str">
        <f>IF(
  E8="Connues",
  IF(
    ABS(H8 - VLOOKUP(C8,'Valeurs Règlement Campagne'!$A$4:$V$7,15,FALSE))&lt;=2,
    VLOOKUP(C8,'Valeurs Règlement Campagne'!$A$4:$V$7,15,FALSE),
    IF(
      ABS(H8 - VLOOKUP(C8,'Valeurs Règlement Campagne'!$A$4:$V$7,16,FALSE))&lt;=2,
      VLOOKUP(C8,'Valeurs Règlement Campagne'!$A$4:$V$7,16,FALSE),
      IF(
        ABS(H8 - VLOOKUP(C8,'Valeurs Règlement Campagne'!$A$4:$V$7,17,FALSE))&lt;=2,
        VLOOKUP(C8,'Valeurs Règlement Campagne'!$A$4:$V$7,17,FALSE),
        ""
      )
    )
  ),
  ""
)</f>
        <v/>
      </c>
    </row>
    <row r="9" spans="1:37" ht="20.75" customHeight="1" thickBot="1">
      <c r="A9" s="195">
        <v>4</v>
      </c>
      <c r="B9" s="191"/>
      <c r="C9" s="291"/>
      <c r="D9" s="291"/>
      <c r="E9" s="196"/>
      <c r="F9" s="188"/>
      <c r="G9" s="105"/>
      <c r="H9" s="106"/>
      <c r="I9" s="185"/>
      <c r="J9" s="202"/>
      <c r="L9" s="46" t="str">
        <f>IF($E9=0," ",IF($E9=$D$31,VLOOKUP($C9,'Valeurs Règlement Campagne'!$A$4:$AB$7,14,FALSE),VLOOKUP($C9,'Valeurs Règlement Campagne'!$A$4:$M$7,4,FALSE)))</f>
        <v xml:space="preserve"> </v>
      </c>
      <c r="M9" s="47" t="str">
        <f>IF($E9=0," ",IF($E9=$D$31,VLOOKUP($C9,'Valeurs Règlement Campagne'!$A$4:$AB$7,16,FALSE),VLOOKUP($C9,'Valeurs Règlement Campagne'!$A$4:$AB$7,5,FALSE)))</f>
        <v xml:space="preserve"> </v>
      </c>
      <c r="N9" s="46" t="str">
        <f>IF($E9=0," ",IF($E9=$D$31,VLOOKUP($C9,'Valeurs Règlement Campagne'!$A$4:$AB$7,17,FALSE),VLOOKUP($C9,'Valeurs Règlement Campagne'!$A$4:$AB$7,6,FALSE)))</f>
        <v xml:space="preserve"> </v>
      </c>
      <c r="O9" s="48" t="str">
        <f>IF($E9=0," ",IF($E9=$D$31,VLOOKUP($C9,'Valeurs Règlement Campagne'!$A$4:$AB$7,19,FALSE),VLOOKUP($C9,'Valeurs Règlement Campagne'!$A$4:$AB$7,7,FALSE)))</f>
        <v xml:space="preserve"> </v>
      </c>
      <c r="P9" s="49" t="str">
        <f>IF($E9=0," ",IF($E9=$D$31,VLOOKUP($C9,'Valeurs Règlement Campagne'!$A$4:$AB$7,20,FALSE),VLOOKUP($C9,'Valeurs Règlement Campagne'!$A$4:$AB$7,8,FALSE)))</f>
        <v xml:space="preserve"> </v>
      </c>
      <c r="Q9" s="48" t="str">
        <f>IF($E9=0," ",IF($E9=$D$31,VLOOKUP($C9,'Valeurs Règlement Campagne'!$A$4:$AB$7,22,FALSE),VLOOKUP($C9,'Valeurs Règlement Campagne'!$A$4:$AB$7,9,FALSE)))</f>
        <v xml:space="preserve"> </v>
      </c>
      <c r="R9" s="52" t="str">
        <f>IF($E9=0," ",IF($E9=$D$31,VLOOKUP($C9,'Valeurs Règlement Campagne'!$A$4:$AB$7,25,FALSE),VLOOKUP($C9,'Valeurs Règlement Campagne'!$A$4:$AB$7,11,FALSE)))</f>
        <v xml:space="preserve"> </v>
      </c>
      <c r="S9" s="46" t="str">
        <f>IF($E9=0," ",IF($E9=$D$31,VLOOKUP($C9,'Valeurs Règlement Campagne'!$A$4:$AB$7,26,FALSE),VLOOKUP($C9,'Valeurs Règlement Campagne'!$A$4:$AB$7,12,FALSE)))</f>
        <v xml:space="preserve"> </v>
      </c>
      <c r="T9" s="47" t="str">
        <f>IF($E9=0," ",IF($E9=$D$31,VLOOKUP($C9,'Valeurs Règlement Campagne'!$A$4:$AB$7,28,FALSE),VLOOKUP($C9,'Valeurs Règlement Campagne'!$A$4:$AB$7,13,FALSE)))</f>
        <v xml:space="preserve"> </v>
      </c>
      <c r="U9" s="53" t="str" cm="1">
        <f t="array" ref="U9">IF(C9=0," ",IF(AND(E9="Connues",AH9&lt;&gt;"",COUNTIFS(AH$6:AH$29,AH9,C$6:C$29,C9)&gt;1),"Doublon",IF(AND(E9="Connues",SUMPRODUCT((E$6:E$29="Connues")*(C$6:C$29=C9)*(ROW($6:$29)&lt;&gt;ROW())*(ABS(F$6:F$29-F9)&lt;=2)*((ABS(F$6:F$29-VLOOKUP(C9,'Valeurs Règlement Campagne'!$A$4:$AB$7,14,FALSE))&lt;=2)+(ABS(F$6:F$29-VLOOKUP(C9,'Valeurs Règlement Campagne'!$A$4:$AB$7,15,FALSE))&lt;=2)+(ABS(F$6:F$29-VLOOKUP(C9,'Valeurs Règlement Campagne'!$A$4:$AB$7,16,FALSE))&lt;=2)))&gt;0),"Doublon",IF($C9=0," ",IF(F9=0," ",IF(E9="Inconnues",AND(F9&gt;=L9,F9&lt;=M9),IF(AND('Valeurs Règlement Campagne'!$L$14="OUI",E9="Connues"),AND(F9&gt;=L9-2,F9&lt;=M9+2),OR(F9=L9,F9=L9+5,F9=M9))))))))</f>
        <v xml:space="preserve"> </v>
      </c>
      <c r="V9" s="54" t="str" cm="1">
        <f t="array" ref="V9">IF(C9=0," ",IF(AND(E9="Connues",AH9&lt;&gt;"",COUNTIFS(AH$6:AH$29,AH9,C$6:C$29,C9)&gt;1),"Doublon",IF(AND(E9="Connues",SUMPRODUCT((E$6:E$29="Connues")*(C$6:C$29=C9)*(ROW($6:$29)&lt;&gt;ROW())*(ABS(G$6:G$29-G9)&lt;=2)*((ABS(G$6:G$29-VLOOKUP(C9,'Valeurs Règlement Campagne'!$A$4:$AB$7,17,FALSE))&lt;=2)+(ABS(G$6:G$29-VLOOKUP(C9,'Valeurs Règlement Campagne'!$A$4:$AB$7,18,FALSE))&lt;=2)+(ABS(G$6:G$29-VLOOKUP(C9,'Valeurs Règlement Campagne'!$A$4:$AB$7,19,FALSE))&lt;=2)))&gt;0),"Doublon",IF($C9=0," ",IF(G9=0," ",IF(E9="Inconnues",AND(G9&gt;=N9,G9&lt;=O9),IF(AND('Valeurs Règlement Campagne'!$L$14="OUI",E9="Connues"),AND(G9&gt;=N9-2,G9&lt;=O9+2),OR(G9=N9,G9=N9+5,G9=O9))))))))</f>
        <v xml:space="preserve"> </v>
      </c>
      <c r="W9" s="54" t="str" cm="1">
        <f t="array" ref="W9">IF(C9=0," ",IF(AND(E9="Connues",AE9&lt;&gt;"",COUNTIFS(AE$6:AE$29,AE9,C$6:C$29,C9)&gt;1),"Doublon",IF(AND(E9="Connues",SUMPRODUCT((E$6:E$29="Connues")*(C$6:C$29=C9)*(ROW($6:$29)&lt;&gt;ROW())*(ABS(H$6:H$29-H9)&lt;=2)*((ABS(H$6:H$29-VLOOKUP(C9,'Valeurs Règlement Campagne'!$A$4:$AB$7,20,FALSE))&lt;=2)+(ABS(H$6:H$29-VLOOKUP(C9,'Valeurs Règlement Campagne'!$A$4:$AB$7,21,FALSE))&lt;=2)+(ABS(H$6:H$29-VLOOKUP(C9,'Valeurs Règlement Campagne'!$A$4:$AB$7,22,FALSE))&lt;=2)))&gt;0),"Doublon",IF($C9=0," ",IF(H9=0," ",IF(E9="Inconnues",AND(H9&gt;=P9,H9&lt;=Q9),IF(AND('Valeurs Règlement Campagne'!$L$14="OUI",E9="Connues"),AND(H9&gt;=P9-2,H9&lt;=Q9+2),OR(H9=P9,H9=P9+5,H9=P9))))))))</f>
        <v xml:space="preserve"> </v>
      </c>
      <c r="X9" s="54" t="str" cm="1">
        <f t="array" ref="X9">IF(C9=0," ",IF(AND(E9="Connues",AH9&lt;&gt;"",COUNTIFS(AH$6:AH$29,AH9,C$6:C$29,C9)&gt;1),"Doublon",IF(AND(E9="Connues",SUMPRODUCT((E$6:E$29="Connues")*(C$6:C$29=C9)*(ROW($6:$29)&lt;&gt;ROW())*(ABS(I$6:I$29-I9)&lt;=2)*((ABS(I$6:I$29-VLOOKUP(C9,'Valeurs Règlement Campagne'!$A$4:$AB$7,23,FALSE))&lt;=2)+(ABS(I$6:I$29-VLOOKUP(C9,'Valeurs Règlement Campagne'!$A$4:$AB$7,24,FALSE))&lt;=2)+(ABS(I$6:I$29-VLOOKUP(C9,'Valeurs Règlement Campagne'!$A$4:$AB$7,25,FALSE))&lt;=2)))&gt;0),"Doublon",IF($C9=0," ",IF(I9=0," ",IF(E9="Inconnues",AND(I9&gt;=P9,I9&lt;=R9),IF(AND('Valeurs Règlement Campagne'!$L$14="OUI",E9="Connues"),AND(I9&gt;=P9-2,I9&lt;=R9+2),OR(I9=P9,I9=P9+5,I9=P9))))))))</f>
        <v xml:space="preserve"> </v>
      </c>
      <c r="Y9" s="218" t="str" cm="1">
        <f t="array" ref="Y9">IF(C9=0," ",IF(AND(E9="Connues",AH9&lt;&gt;"",COUNTIFS(AH$6:AH$29,AH9,C$6:C$29,C9)&gt;1),"Doublon",IF(AND(E9="Connues",SUMPRODUCT((E$6:E$29="Connues")*(C$6:C$29=C9)*(ROW($6:$29)&lt;&gt;ROW())*(ABS(J$6:J$29-J9)&lt;=2)*((ABS(J$6:J$29-VLOOKUP(C9,'Valeurs Règlement Campagne'!$A$4:$AB$7,26,FALSE))&lt;=2)+(ABS(J$6:J$29-VLOOKUP(C9,'Valeurs Règlement Campagne'!$A$4:$AB$7,27,FALSE))&lt;=2)+(ABS(J$6:J$29-VLOOKUP(C9,'Valeurs Règlement Campagne'!$A$4:$AB$7,28,FALSE))&lt;=2)))&gt;0),"Doublon",IF($C9=0," ",IF(J9=0," ",IF(E9="Inconnues",AND(J9&gt;=S9,J9&lt;=T9),IF(AND('Valeurs Règlement Campagne'!$L$14="OUI",E9="Connues"),AND(J9&gt;=S9-2,J9&lt;=T9+2),OR(J9=S9,J9=S9+5,J9=S9))))))))</f>
        <v xml:space="preserve"> </v>
      </c>
      <c r="Z9" s="235" t="str">
        <f t="shared" si="3"/>
        <v xml:space="preserve"> </v>
      </c>
      <c r="AA9" s="233"/>
      <c r="AB9" s="233" t="str">
        <f t="shared" si="0"/>
        <v xml:space="preserve"> </v>
      </c>
      <c r="AC9" s="233"/>
      <c r="AD9" s="233" t="str">
        <f t="shared" si="1"/>
        <v xml:space="preserve"> </v>
      </c>
      <c r="AE9" s="233"/>
      <c r="AF9" s="233" t="str">
        <f t="shared" si="4"/>
        <v xml:space="preserve"> </v>
      </c>
      <c r="AG9" s="234"/>
      <c r="AH9" s="55" t="str">
        <f t="shared" si="2"/>
        <v/>
      </c>
      <c r="AI9" s="44" t="str">
        <f>IF(
  E9="Connues",
  IF(
    ABS(F9 - VLOOKUP(C9,'Valeurs Règlement Campagne'!$A$4:$V$7,12,FALSE))&lt;=2,
    VLOOKUP(C9,'Valeurs Règlement Campagne'!$A$4:$V$7,12,FALSE),
    IF(
      ABS(F9 - VLOOKUP(C9,'Valeurs Règlement Campagne'!$A$4:$V$7,13,FALSE))&lt;=2,
      VLOOKUP(C9,'Valeurs Règlement Campagne'!$A$4:$V$7,13,FALSE),
      IF(
        ABS(F9 - VLOOKUP(C9,'Valeurs Règlement Campagne'!$A$4:$V$7,14,FALSE))&lt;=2,
        VLOOKUP(C9,'Valeurs Règlement Campagne'!$A$4:$V$7,14,FALSE),
        ""
      )
    )
  ),
  ""
)</f>
        <v/>
      </c>
      <c r="AJ9" s="44" t="str">
        <f>IF(
  E9="Connues",
  IF(
    ABS(G9 - VLOOKUP(C9,'Valeurs Règlement Campagne'!$A$4:$V$7,15,FALSE))&lt;=2,
    VLOOKUP(C9,'Valeurs Règlement Campagne'!$A$4:$V$7,15,FALSE),
    IF(
      ABS(G9 - VLOOKUP(C9,'Valeurs Règlement Campagne'!$A$4:$V$7,16,FALSE))&lt;=2,
      VLOOKUP(C9,'Valeurs Règlement Campagne'!$A$4:$V$7,16,FALSE),
      IF(
        ABS(G9 - VLOOKUP(C9,'Valeurs Règlement Campagne'!$A$4:$V$7,17,FALSE))&lt;=2,
        VLOOKUP(C9,'Valeurs Règlement Campagne'!$A$4:$V$7,17,FALSE),
        ""
      )
    )
  ),
  ""
)</f>
        <v/>
      </c>
      <c r="AK9" s="44" t="str">
        <f>IF(
  E9="Connues",
  IF(
    ABS(H9 - VLOOKUP(C9,'Valeurs Règlement Campagne'!$A$4:$V$7,15,FALSE))&lt;=2,
    VLOOKUP(C9,'Valeurs Règlement Campagne'!$A$4:$V$7,15,FALSE),
    IF(
      ABS(H9 - VLOOKUP(C9,'Valeurs Règlement Campagne'!$A$4:$V$7,16,FALSE))&lt;=2,
      VLOOKUP(C9,'Valeurs Règlement Campagne'!$A$4:$V$7,16,FALSE),
      IF(
        ABS(H9 - VLOOKUP(C9,'Valeurs Règlement Campagne'!$A$4:$V$7,17,FALSE))&lt;=2,
        VLOOKUP(C9,'Valeurs Règlement Campagne'!$A$4:$V$7,17,FALSE),
        ""
      )
    )
  ),
  ""
)</f>
        <v/>
      </c>
    </row>
    <row r="10" spans="1:37" ht="20.75" customHeight="1" thickBot="1">
      <c r="A10" s="195">
        <v>5</v>
      </c>
      <c r="B10" s="191"/>
      <c r="C10" s="291"/>
      <c r="D10" s="291"/>
      <c r="E10" s="196"/>
      <c r="F10" s="188"/>
      <c r="G10" s="105"/>
      <c r="H10" s="106"/>
      <c r="I10" s="185"/>
      <c r="J10" s="202"/>
      <c r="L10" s="46" t="str">
        <f>IF($E10=0," ",IF($E10=$D$31,VLOOKUP($C10,'Valeurs Règlement Campagne'!$A$4:$AB$7,14,FALSE),VLOOKUP($C10,'Valeurs Règlement Campagne'!$A$4:$M$7,4,FALSE)))</f>
        <v xml:space="preserve"> </v>
      </c>
      <c r="M10" s="47" t="str">
        <f>IF($E10=0," ",IF($E10=$D$31,VLOOKUP($C10,'Valeurs Règlement Campagne'!$A$4:$AB$7,16,FALSE),VLOOKUP($C10,'Valeurs Règlement Campagne'!$A$4:$AB$7,5,FALSE)))</f>
        <v xml:space="preserve"> </v>
      </c>
      <c r="N10" s="46" t="str">
        <f>IF($E10=0," ",IF($E10=$D$31,VLOOKUP($C10,'Valeurs Règlement Campagne'!$A$4:$AB$7,17,FALSE),VLOOKUP($C10,'Valeurs Règlement Campagne'!$A$4:$AB$7,6,FALSE)))</f>
        <v xml:space="preserve"> </v>
      </c>
      <c r="O10" s="48" t="str">
        <f>IF($E10=0," ",IF($E10=$D$31,VLOOKUP($C10,'Valeurs Règlement Campagne'!$A$4:$AB$7,19,FALSE),VLOOKUP($C10,'Valeurs Règlement Campagne'!$A$4:$AB$7,7,FALSE)))</f>
        <v xml:space="preserve"> </v>
      </c>
      <c r="P10" s="49" t="str">
        <f>IF($E10=0," ",IF($E10=$D$31,VLOOKUP($C10,'Valeurs Règlement Campagne'!$A$4:$AB$7,20,FALSE),VLOOKUP($C10,'Valeurs Règlement Campagne'!$A$4:$AB$7,8,FALSE)))</f>
        <v xml:space="preserve"> </v>
      </c>
      <c r="Q10" s="48" t="str">
        <f>IF($E10=0," ",IF($E10=$D$31,VLOOKUP($C10,'Valeurs Règlement Campagne'!$A$4:$AB$7,22,FALSE),VLOOKUP($C10,'Valeurs Règlement Campagne'!$A$4:$AB$7,9,FALSE)))</f>
        <v xml:space="preserve"> </v>
      </c>
      <c r="R10" s="52" t="str">
        <f>IF($E10=0," ",IF($E10=$D$31,VLOOKUP($C10,'Valeurs Règlement Campagne'!$A$4:$AB$7,25,FALSE),VLOOKUP($C10,'Valeurs Règlement Campagne'!$A$4:$AB$7,11,FALSE)))</f>
        <v xml:space="preserve"> </v>
      </c>
      <c r="S10" s="46" t="str">
        <f>IF($E10=0," ",IF($E10=$D$31,VLOOKUP($C10,'Valeurs Règlement Campagne'!$A$4:$AB$7,26,FALSE),VLOOKUP($C10,'Valeurs Règlement Campagne'!$A$4:$AB$7,12,FALSE)))</f>
        <v xml:space="preserve"> </v>
      </c>
      <c r="T10" s="47" t="str">
        <f>IF($E10=0," ",IF($E10=$D$31,VLOOKUP($C10,'Valeurs Règlement Campagne'!$A$4:$AB$7,28,FALSE),VLOOKUP($C10,'Valeurs Règlement Campagne'!$A$4:$AB$7,13,FALSE)))</f>
        <v xml:space="preserve"> </v>
      </c>
      <c r="U10" s="53" t="str" cm="1">
        <f t="array" ref="U10">IF(C10=0," ",IF(AND(E10="Connues",AH10&lt;&gt;"",COUNTIFS(AH$6:AH$29,AH10,C$6:C$29,C10)&gt;1),"Doublon",IF(AND(E10="Connues",SUMPRODUCT((E$6:E$29="Connues")*(C$6:C$29=C10)*(ROW($6:$29)&lt;&gt;ROW())*(ABS(F$6:F$29-F10)&lt;=2)*((ABS(F$6:F$29-VLOOKUP(C10,'Valeurs Règlement Campagne'!$A$4:$AB$7,14,FALSE))&lt;=2)+(ABS(F$6:F$29-VLOOKUP(C10,'Valeurs Règlement Campagne'!$A$4:$AB$7,15,FALSE))&lt;=2)+(ABS(F$6:F$29-VLOOKUP(C10,'Valeurs Règlement Campagne'!$A$4:$AB$7,16,FALSE))&lt;=2)))&gt;0),"Doublon",IF($C10=0," ",IF(F10=0," ",IF(E10="Inconnues",AND(F10&gt;=L10,F10&lt;=M10),IF(AND('Valeurs Règlement Campagne'!$L$14="OUI",E10="Connues"),AND(F10&gt;=L10-2,F10&lt;=M10+2),OR(F10=L10,F10=L10+5,F10=M10))))))))</f>
        <v xml:space="preserve"> </v>
      </c>
      <c r="V10" s="54" t="str" cm="1">
        <f t="array" ref="V10">IF(C10=0," ",IF(AND(E10="Connues",AH10&lt;&gt;"",COUNTIFS(AH$6:AH$29,AH10,C$6:C$29,C10)&gt;1),"Doublon",IF(AND(E10="Connues",SUMPRODUCT((E$6:E$29="Connues")*(C$6:C$29=C10)*(ROW($6:$29)&lt;&gt;ROW())*(ABS(G$6:G$29-G10)&lt;=2)*((ABS(G$6:G$29-VLOOKUP(C10,'Valeurs Règlement Campagne'!$A$4:$AB$7,17,FALSE))&lt;=2)+(ABS(G$6:G$29-VLOOKUP(C10,'Valeurs Règlement Campagne'!$A$4:$AB$7,18,FALSE))&lt;=2)+(ABS(G$6:G$29-VLOOKUP(C10,'Valeurs Règlement Campagne'!$A$4:$AB$7,19,FALSE))&lt;=2)))&gt;0),"Doublon",IF($C10=0," ",IF(G10=0," ",IF(E10="Inconnues",AND(G10&gt;=N10,G10&lt;=O10),IF(AND('Valeurs Règlement Campagne'!$L$14="OUI",E10="Connues"),AND(G10&gt;=N10-2,G10&lt;=O10+2),OR(G10=N10,G10=N10+5,G10=O10))))))))</f>
        <v xml:space="preserve"> </v>
      </c>
      <c r="W10" s="54" t="str" cm="1">
        <f t="array" ref="W10">IF(C10=0," ",IF(AND(E10="Connues",AE10&lt;&gt;"",COUNTIFS(AE$6:AE$29,AE10,C$6:C$29,C10)&gt;1),"Doublon",IF(AND(E10="Connues",SUMPRODUCT((E$6:E$29="Connues")*(C$6:C$29=C10)*(ROW($6:$29)&lt;&gt;ROW())*(ABS(H$6:H$29-H10)&lt;=2)*((ABS(H$6:H$29-VLOOKUP(C10,'Valeurs Règlement Campagne'!$A$4:$AB$7,20,FALSE))&lt;=2)+(ABS(H$6:H$29-VLOOKUP(C10,'Valeurs Règlement Campagne'!$A$4:$AB$7,21,FALSE))&lt;=2)+(ABS(H$6:H$29-VLOOKUP(C10,'Valeurs Règlement Campagne'!$A$4:$AB$7,22,FALSE))&lt;=2)))&gt;0),"Doublon",IF($C10=0," ",IF(H10=0," ",IF(E10="Inconnues",AND(H10&gt;=P10,H10&lt;=Q10),IF(AND('Valeurs Règlement Campagne'!$L$14="OUI",E10="Connues"),AND(H10&gt;=P10-2,H10&lt;=Q10+2),OR(H10=P10,H10=P10+5,H10=P10))))))))</f>
        <v xml:space="preserve"> </v>
      </c>
      <c r="X10" s="54" t="str" cm="1">
        <f t="array" ref="X10">IF(C10=0," ",IF(AND(E10="Connues",AH10&lt;&gt;"",COUNTIFS(AH$6:AH$29,AH10,C$6:C$29,C10)&gt;1),"Doublon",IF(AND(E10="Connues",SUMPRODUCT((E$6:E$29="Connues")*(C$6:C$29=C10)*(ROW($6:$29)&lt;&gt;ROW())*(ABS(I$6:I$29-I10)&lt;=2)*((ABS(I$6:I$29-VLOOKUP(C10,'Valeurs Règlement Campagne'!$A$4:$AB$7,23,FALSE))&lt;=2)+(ABS(I$6:I$29-VLOOKUP(C10,'Valeurs Règlement Campagne'!$A$4:$AB$7,24,FALSE))&lt;=2)+(ABS(I$6:I$29-VLOOKUP(C10,'Valeurs Règlement Campagne'!$A$4:$AB$7,25,FALSE))&lt;=2)))&gt;0),"Doublon",IF($C10=0," ",IF(I10=0," ",IF(E10="Inconnues",AND(I10&gt;=P10,I10&lt;=R10),IF(AND('Valeurs Règlement Campagne'!$L$14="OUI",E10="Connues"),AND(I10&gt;=P10-2,I10&lt;=R10+2),OR(I10=P10,I10=P10+5,I10=P10))))))))</f>
        <v xml:space="preserve"> </v>
      </c>
      <c r="Y10" s="218" t="str" cm="1">
        <f t="array" ref="Y10">IF(C10=0," ",IF(AND(E10="Connues",AH10&lt;&gt;"",COUNTIFS(AH$6:AH$29,AH10,C$6:C$29,C10)&gt;1),"Doublon",IF(AND(E10="Connues",SUMPRODUCT((E$6:E$29="Connues")*(C$6:C$29=C10)*(ROW($6:$29)&lt;&gt;ROW())*(ABS(J$6:J$29-J10)&lt;=2)*((ABS(J$6:J$29-VLOOKUP(C10,'Valeurs Règlement Campagne'!$A$4:$AB$7,26,FALSE))&lt;=2)+(ABS(J$6:J$29-VLOOKUP(C10,'Valeurs Règlement Campagne'!$A$4:$AB$7,27,FALSE))&lt;=2)+(ABS(J$6:J$29-VLOOKUP(C10,'Valeurs Règlement Campagne'!$A$4:$AB$7,28,FALSE))&lt;=2)))&gt;0),"Doublon",IF($C10=0," ",IF(J10=0," ",IF(E10="Inconnues",AND(J10&gt;=S10,J10&lt;=T10),IF(AND('Valeurs Règlement Campagne'!$L$14="OUI",E10="Connues"),AND(J10&gt;=S10-2,J10&lt;=T10+2),OR(J10=S10,J10=S10+5,J10=S10))))))))</f>
        <v xml:space="preserve"> </v>
      </c>
      <c r="Z10" s="235" t="str">
        <f t="shared" si="3"/>
        <v xml:space="preserve"> </v>
      </c>
      <c r="AA10" s="233"/>
      <c r="AB10" s="233" t="str">
        <f t="shared" si="0"/>
        <v xml:space="preserve"> </v>
      </c>
      <c r="AC10" s="233"/>
      <c r="AD10" s="233" t="str">
        <f t="shared" si="1"/>
        <v xml:space="preserve"> </v>
      </c>
      <c r="AE10" s="233"/>
      <c r="AF10" s="233" t="str">
        <f t="shared" si="4"/>
        <v xml:space="preserve"> </v>
      </c>
      <c r="AG10" s="234"/>
      <c r="AH10" s="55" t="str">
        <f t="shared" si="2"/>
        <v/>
      </c>
      <c r="AI10" s="44" t="str">
        <f>IF(
  E10="Connues",
  IF(
    ABS(F10 - VLOOKUP(C10,'Valeurs Règlement Campagne'!$A$4:$V$7,12,FALSE))&lt;=2,
    VLOOKUP(C10,'Valeurs Règlement Campagne'!$A$4:$V$7,12,FALSE),
    IF(
      ABS(F10 - VLOOKUP(C10,'Valeurs Règlement Campagne'!$A$4:$V$7,13,FALSE))&lt;=2,
      VLOOKUP(C10,'Valeurs Règlement Campagne'!$A$4:$V$7,13,FALSE),
      IF(
        ABS(F10 - VLOOKUP(C10,'Valeurs Règlement Campagne'!$A$4:$V$7,14,FALSE))&lt;=2,
        VLOOKUP(C10,'Valeurs Règlement Campagne'!$A$4:$V$7,14,FALSE),
        ""
      )
    )
  ),
  ""
)</f>
        <v/>
      </c>
      <c r="AJ10" s="44" t="str">
        <f>IF(
  E10="Connues",
  IF(
    ABS(G10 - VLOOKUP(C10,'Valeurs Règlement Campagne'!$A$4:$V$7,15,FALSE))&lt;=2,
    VLOOKUP(C10,'Valeurs Règlement Campagne'!$A$4:$V$7,15,FALSE),
    IF(
      ABS(G10 - VLOOKUP(C10,'Valeurs Règlement Campagne'!$A$4:$V$7,16,FALSE))&lt;=2,
      VLOOKUP(C10,'Valeurs Règlement Campagne'!$A$4:$V$7,16,FALSE),
      IF(
        ABS(G10 - VLOOKUP(C10,'Valeurs Règlement Campagne'!$A$4:$V$7,17,FALSE))&lt;=2,
        VLOOKUP(C10,'Valeurs Règlement Campagne'!$A$4:$V$7,17,FALSE),
        ""
      )
    )
  ),
  ""
)</f>
        <v/>
      </c>
      <c r="AK10" s="44" t="str">
        <f>IF(
  E10="Connues",
  IF(
    ABS(H10 - VLOOKUP(C10,'Valeurs Règlement Campagne'!$A$4:$V$7,15,FALSE))&lt;=2,
    VLOOKUP(C10,'Valeurs Règlement Campagne'!$A$4:$V$7,15,FALSE),
    IF(
      ABS(H10 - VLOOKUP(C10,'Valeurs Règlement Campagne'!$A$4:$V$7,16,FALSE))&lt;=2,
      VLOOKUP(C10,'Valeurs Règlement Campagne'!$A$4:$V$7,16,FALSE),
      IF(
        ABS(H10 - VLOOKUP(C10,'Valeurs Règlement Campagne'!$A$4:$V$7,17,FALSE))&lt;=2,
        VLOOKUP(C10,'Valeurs Règlement Campagne'!$A$4:$V$7,17,FALSE),
        ""
      )
    )
  ),
  ""
)</f>
        <v/>
      </c>
    </row>
    <row r="11" spans="1:37" ht="20.75" customHeight="1" thickBot="1">
      <c r="A11" s="195">
        <v>6</v>
      </c>
      <c r="B11" s="191"/>
      <c r="C11" s="291"/>
      <c r="D11" s="291"/>
      <c r="E11" s="196"/>
      <c r="F11" s="188"/>
      <c r="G11" s="105"/>
      <c r="H11" s="106"/>
      <c r="I11" s="185"/>
      <c r="J11" s="202"/>
      <c r="L11" s="46" t="str">
        <f>IF($E11=0," ",IF($E11=$D$31,VLOOKUP($C11,'Valeurs Règlement Campagne'!$A$4:$AB$7,14,FALSE),VLOOKUP($C11,'Valeurs Règlement Campagne'!$A$4:$M$7,4,FALSE)))</f>
        <v xml:space="preserve"> </v>
      </c>
      <c r="M11" s="47" t="str">
        <f>IF($E11=0," ",IF($E11=$D$31,VLOOKUP($C11,'Valeurs Règlement Campagne'!$A$4:$AB$7,16,FALSE),VLOOKUP($C11,'Valeurs Règlement Campagne'!$A$4:$AB$7,5,FALSE)))</f>
        <v xml:space="preserve"> </v>
      </c>
      <c r="N11" s="46" t="str">
        <f>IF($E11=0," ",IF($E11=$D$31,VLOOKUP($C11,'Valeurs Règlement Campagne'!$A$4:$AB$7,17,FALSE),VLOOKUP($C11,'Valeurs Règlement Campagne'!$A$4:$AB$7,6,FALSE)))</f>
        <v xml:space="preserve"> </v>
      </c>
      <c r="O11" s="48" t="str">
        <f>IF($E11=0," ",IF($E11=$D$31,VLOOKUP($C11,'Valeurs Règlement Campagne'!$A$4:$AB$7,19,FALSE),VLOOKUP($C11,'Valeurs Règlement Campagne'!$A$4:$AB$7,7,FALSE)))</f>
        <v xml:space="preserve"> </v>
      </c>
      <c r="P11" s="49" t="str">
        <f>IF($E11=0," ",IF($E11=$D$31,VLOOKUP($C11,'Valeurs Règlement Campagne'!$A$4:$AB$7,20,FALSE),VLOOKUP($C11,'Valeurs Règlement Campagne'!$A$4:$AB$7,8,FALSE)))</f>
        <v xml:space="preserve"> </v>
      </c>
      <c r="Q11" s="48" t="str">
        <f>IF($E11=0," ",IF($E11=$D$31,VLOOKUP($C11,'Valeurs Règlement Campagne'!$A$4:$AB$7,22,FALSE),VLOOKUP($C11,'Valeurs Règlement Campagne'!$A$4:$AB$7,9,FALSE)))</f>
        <v xml:space="preserve"> </v>
      </c>
      <c r="R11" s="52" t="str">
        <f>IF($E11=0," ",IF($E11=$D$31,VLOOKUP($C11,'Valeurs Règlement Campagne'!$A$4:$AB$7,25,FALSE),VLOOKUP($C11,'Valeurs Règlement Campagne'!$A$4:$AB$7,11,FALSE)))</f>
        <v xml:space="preserve"> </v>
      </c>
      <c r="S11" s="46" t="str">
        <f>IF($E11=0," ",IF($E11=$D$31,VLOOKUP($C11,'Valeurs Règlement Campagne'!$A$4:$AB$7,26,FALSE),VLOOKUP($C11,'Valeurs Règlement Campagne'!$A$4:$AB$7,12,FALSE)))</f>
        <v xml:space="preserve"> </v>
      </c>
      <c r="T11" s="47" t="str">
        <f>IF($E11=0," ",IF($E11=$D$31,VLOOKUP($C11,'Valeurs Règlement Campagne'!$A$4:$AB$7,28,FALSE),VLOOKUP($C11,'Valeurs Règlement Campagne'!$A$4:$AB$7,13,FALSE)))</f>
        <v xml:space="preserve"> </v>
      </c>
      <c r="U11" s="53" t="str" cm="1">
        <f t="array" ref="U11">IF(C11=0," ",IF(AND(E11="Connues",AH11&lt;&gt;"",COUNTIFS(AH$6:AH$29,AH11,C$6:C$29,C11)&gt;1),"Doublon",IF(AND(E11="Connues",SUMPRODUCT((E$6:E$29="Connues")*(C$6:C$29=C11)*(ROW($6:$29)&lt;&gt;ROW())*(ABS(F$6:F$29-F11)&lt;=2)*((ABS(F$6:F$29-VLOOKUP(C11,'Valeurs Règlement Campagne'!$A$4:$AB$7,14,FALSE))&lt;=2)+(ABS(F$6:F$29-VLOOKUP(C11,'Valeurs Règlement Campagne'!$A$4:$AB$7,15,FALSE))&lt;=2)+(ABS(F$6:F$29-VLOOKUP(C11,'Valeurs Règlement Campagne'!$A$4:$AB$7,16,FALSE))&lt;=2)))&gt;0),"Doublon",IF($C11=0," ",IF(F11=0," ",IF(E11="Inconnues",AND(F11&gt;=L11,F11&lt;=M11),IF(AND('Valeurs Règlement Campagne'!$L$14="OUI",E11="Connues"),AND(F11&gt;=L11-2,F11&lt;=M11+2),OR(F11=L11,F11=L11+5,F11=M11))))))))</f>
        <v xml:space="preserve"> </v>
      </c>
      <c r="V11" s="54" t="str" cm="1">
        <f t="array" ref="V11">IF(C11=0," ",IF(AND(E11="Connues",AH11&lt;&gt;"",COUNTIFS(AH$6:AH$29,AH11,C$6:C$29,C11)&gt;1),"Doublon",IF(AND(E11="Connues",SUMPRODUCT((E$6:E$29="Connues")*(C$6:C$29=C11)*(ROW($6:$29)&lt;&gt;ROW())*(ABS(G$6:G$29-G11)&lt;=2)*((ABS(G$6:G$29-VLOOKUP(C11,'Valeurs Règlement Campagne'!$A$4:$AB$7,17,FALSE))&lt;=2)+(ABS(G$6:G$29-VLOOKUP(C11,'Valeurs Règlement Campagne'!$A$4:$AB$7,18,FALSE))&lt;=2)+(ABS(G$6:G$29-VLOOKUP(C11,'Valeurs Règlement Campagne'!$A$4:$AB$7,19,FALSE))&lt;=2)))&gt;0),"Doublon",IF($C11=0," ",IF(G11=0," ",IF(E11="Inconnues",AND(G11&gt;=N11,G11&lt;=O11),IF(AND('Valeurs Règlement Campagne'!$L$14="OUI",E11="Connues"),AND(G11&gt;=N11-2,G11&lt;=O11+2),OR(G11=N11,G11=N11+5,G11=O11))))))))</f>
        <v xml:space="preserve"> </v>
      </c>
      <c r="W11" s="54" t="str" cm="1">
        <f t="array" ref="W11">IF(C11=0," ",IF(AND(E11="Connues",AE11&lt;&gt;"",COUNTIFS(AE$6:AE$29,AE11,C$6:C$29,C11)&gt;1),"Doublon",IF(AND(E11="Connues",SUMPRODUCT((E$6:E$29="Connues")*(C$6:C$29=C11)*(ROW($6:$29)&lt;&gt;ROW())*(ABS(H$6:H$29-H11)&lt;=2)*((ABS(H$6:H$29-VLOOKUP(C11,'Valeurs Règlement Campagne'!$A$4:$AB$7,20,FALSE))&lt;=2)+(ABS(H$6:H$29-VLOOKUP(C11,'Valeurs Règlement Campagne'!$A$4:$AB$7,21,FALSE))&lt;=2)+(ABS(H$6:H$29-VLOOKUP(C11,'Valeurs Règlement Campagne'!$A$4:$AB$7,22,FALSE))&lt;=2)))&gt;0),"Doublon",IF($C11=0," ",IF(H11=0," ",IF(E11="Inconnues",AND(H11&gt;=P11,H11&lt;=Q11),IF(AND('Valeurs Règlement Campagne'!$L$14="OUI",E11="Connues"),AND(H11&gt;=P11-2,H11&lt;=Q11+2),OR(H11=P11,H11=P11+5,H11=P11))))))))</f>
        <v xml:space="preserve"> </v>
      </c>
      <c r="X11" s="54" t="str" cm="1">
        <f t="array" ref="X11">IF(C11=0," ",IF(AND(E11="Connues",AH11&lt;&gt;"",COUNTIFS(AH$6:AH$29,AH11,C$6:C$29,C11)&gt;1),"Doublon",IF(AND(E11="Connues",SUMPRODUCT((E$6:E$29="Connues")*(C$6:C$29=C11)*(ROW($6:$29)&lt;&gt;ROW())*(ABS(I$6:I$29-I11)&lt;=2)*((ABS(I$6:I$29-VLOOKUP(C11,'Valeurs Règlement Campagne'!$A$4:$AB$7,23,FALSE))&lt;=2)+(ABS(I$6:I$29-VLOOKUP(C11,'Valeurs Règlement Campagne'!$A$4:$AB$7,24,FALSE))&lt;=2)+(ABS(I$6:I$29-VLOOKUP(C11,'Valeurs Règlement Campagne'!$A$4:$AB$7,25,FALSE))&lt;=2)))&gt;0),"Doublon",IF($C11=0," ",IF(I11=0," ",IF(E11="Inconnues",AND(I11&gt;=P11,I11&lt;=R11),IF(AND('Valeurs Règlement Campagne'!$L$14="OUI",E11="Connues"),AND(I11&gt;=P11-2,I11&lt;=R11+2),OR(I11=P11,I11=P11+5,I11=P11))))))))</f>
        <v xml:space="preserve"> </v>
      </c>
      <c r="Y11" s="218" t="str" cm="1">
        <f t="array" ref="Y11">IF(C11=0," ",IF(AND(E11="Connues",AH11&lt;&gt;"",COUNTIFS(AH$6:AH$29,AH11,C$6:C$29,C11)&gt;1),"Doublon",IF(AND(E11="Connues",SUMPRODUCT((E$6:E$29="Connues")*(C$6:C$29=C11)*(ROW($6:$29)&lt;&gt;ROW())*(ABS(J$6:J$29-J11)&lt;=2)*((ABS(J$6:J$29-VLOOKUP(C11,'Valeurs Règlement Campagne'!$A$4:$AB$7,26,FALSE))&lt;=2)+(ABS(J$6:J$29-VLOOKUP(C11,'Valeurs Règlement Campagne'!$A$4:$AB$7,27,FALSE))&lt;=2)+(ABS(J$6:J$29-VLOOKUP(C11,'Valeurs Règlement Campagne'!$A$4:$AB$7,28,FALSE))&lt;=2)))&gt;0),"Doublon",IF($C11=0," ",IF(J11=0," ",IF(E11="Inconnues",AND(J11&gt;=S11,J11&lt;=T11),IF(AND('Valeurs Règlement Campagne'!$L$14="OUI",E11="Connues"),AND(J11&gt;=S11-2,J11&lt;=T11+2),OR(J11=S11,J11=S11+5,J11=S11))))))))</f>
        <v xml:space="preserve"> </v>
      </c>
      <c r="Z11" s="235" t="str">
        <f t="shared" si="3"/>
        <v xml:space="preserve"> </v>
      </c>
      <c r="AA11" s="233"/>
      <c r="AB11" s="233" t="str">
        <f t="shared" si="0"/>
        <v xml:space="preserve"> </v>
      </c>
      <c r="AC11" s="233"/>
      <c r="AD11" s="233" t="str">
        <f t="shared" si="1"/>
        <v xml:space="preserve"> </v>
      </c>
      <c r="AE11" s="233"/>
      <c r="AF11" s="233" t="str">
        <f t="shared" si="4"/>
        <v xml:space="preserve"> </v>
      </c>
      <c r="AG11" s="234"/>
      <c r="AH11" s="55" t="str">
        <f t="shared" si="2"/>
        <v/>
      </c>
      <c r="AI11" s="44" t="str">
        <f>IF(
  E11="Connues",
  IF(
    ABS(F11 - VLOOKUP(C11,'Valeurs Règlement Campagne'!$A$4:$V$7,12,FALSE))&lt;=2,
    VLOOKUP(C11,'Valeurs Règlement Campagne'!$A$4:$V$7,12,FALSE),
    IF(
      ABS(F11 - VLOOKUP(C11,'Valeurs Règlement Campagne'!$A$4:$V$7,13,FALSE))&lt;=2,
      VLOOKUP(C11,'Valeurs Règlement Campagne'!$A$4:$V$7,13,FALSE),
      IF(
        ABS(F11 - VLOOKUP(C11,'Valeurs Règlement Campagne'!$A$4:$V$7,14,FALSE))&lt;=2,
        VLOOKUP(C11,'Valeurs Règlement Campagne'!$A$4:$V$7,14,FALSE),
        ""
      )
    )
  ),
  ""
)</f>
        <v/>
      </c>
      <c r="AJ11" s="44" t="str">
        <f>IF(
  E11="Connues",
  IF(
    ABS(G11 - VLOOKUP(C11,'Valeurs Règlement Campagne'!$A$4:$V$7,15,FALSE))&lt;=2,
    VLOOKUP(C11,'Valeurs Règlement Campagne'!$A$4:$V$7,15,FALSE),
    IF(
      ABS(G11 - VLOOKUP(C11,'Valeurs Règlement Campagne'!$A$4:$V$7,16,FALSE))&lt;=2,
      VLOOKUP(C11,'Valeurs Règlement Campagne'!$A$4:$V$7,16,FALSE),
      IF(
        ABS(G11 - VLOOKUP(C11,'Valeurs Règlement Campagne'!$A$4:$V$7,17,FALSE))&lt;=2,
        VLOOKUP(C11,'Valeurs Règlement Campagne'!$A$4:$V$7,17,FALSE),
        ""
      )
    )
  ),
  ""
)</f>
        <v/>
      </c>
      <c r="AK11" s="44" t="str">
        <f>IF(
  E11="Connues",
  IF(
    ABS(H11 - VLOOKUP(C11,'Valeurs Règlement Campagne'!$A$4:$V$7,15,FALSE))&lt;=2,
    VLOOKUP(C11,'Valeurs Règlement Campagne'!$A$4:$V$7,15,FALSE),
    IF(
      ABS(H11 - VLOOKUP(C11,'Valeurs Règlement Campagne'!$A$4:$V$7,16,FALSE))&lt;=2,
      VLOOKUP(C11,'Valeurs Règlement Campagne'!$A$4:$V$7,16,FALSE),
      IF(
        ABS(H11 - VLOOKUP(C11,'Valeurs Règlement Campagne'!$A$4:$V$7,17,FALSE))&lt;=2,
        VLOOKUP(C11,'Valeurs Règlement Campagne'!$A$4:$V$7,17,FALSE),
        ""
      )
    )
  ),
  ""
)</f>
        <v/>
      </c>
    </row>
    <row r="12" spans="1:37" ht="20.75" customHeight="1" thickBot="1">
      <c r="A12" s="195">
        <v>7</v>
      </c>
      <c r="B12" s="191"/>
      <c r="C12" s="291"/>
      <c r="D12" s="291"/>
      <c r="E12" s="196"/>
      <c r="F12" s="188"/>
      <c r="G12" s="105"/>
      <c r="H12" s="106"/>
      <c r="I12" s="185"/>
      <c r="J12" s="202"/>
      <c r="L12" s="46" t="str">
        <f>IF($E12=0," ",IF($E12=$D$31,VLOOKUP($C12,'Valeurs Règlement Campagne'!$A$4:$AB$7,14,FALSE),VLOOKUP($C12,'Valeurs Règlement Campagne'!$A$4:$M$7,4,FALSE)))</f>
        <v xml:space="preserve"> </v>
      </c>
      <c r="M12" s="47" t="str">
        <f>IF($E12=0," ",IF($E12=$D$31,VLOOKUP($C12,'Valeurs Règlement Campagne'!$A$4:$AB$7,16,FALSE),VLOOKUP($C12,'Valeurs Règlement Campagne'!$A$4:$AB$7,5,FALSE)))</f>
        <v xml:space="preserve"> </v>
      </c>
      <c r="N12" s="46" t="str">
        <f>IF($E12=0," ",IF($E12=$D$31,VLOOKUP($C12,'Valeurs Règlement Campagne'!$A$4:$AB$7,17,FALSE),VLOOKUP($C12,'Valeurs Règlement Campagne'!$A$4:$AB$7,6,FALSE)))</f>
        <v xml:space="preserve"> </v>
      </c>
      <c r="O12" s="48" t="str">
        <f>IF($E12=0," ",IF($E12=$D$31,VLOOKUP($C12,'Valeurs Règlement Campagne'!$A$4:$AB$7,19,FALSE),VLOOKUP($C12,'Valeurs Règlement Campagne'!$A$4:$AB$7,7,FALSE)))</f>
        <v xml:space="preserve"> </v>
      </c>
      <c r="P12" s="49" t="str">
        <f>IF($E12=0," ",IF($E12=$D$31,VLOOKUP($C12,'Valeurs Règlement Campagne'!$A$4:$AB$7,20,FALSE),VLOOKUP($C12,'Valeurs Règlement Campagne'!$A$4:$AB$7,8,FALSE)))</f>
        <v xml:space="preserve"> </v>
      </c>
      <c r="Q12" s="48" t="str">
        <f>IF($E12=0," ",IF($E12=$D$31,VLOOKUP($C12,'Valeurs Règlement Campagne'!$A$4:$AB$7,22,FALSE),VLOOKUP($C12,'Valeurs Règlement Campagne'!$A$4:$AB$7,9,FALSE)))</f>
        <v xml:space="preserve"> </v>
      </c>
      <c r="R12" s="52" t="str">
        <f>IF($E12=0," ",IF($E12=$D$31,VLOOKUP($C12,'Valeurs Règlement Campagne'!$A$4:$AB$7,25,FALSE),VLOOKUP($C12,'Valeurs Règlement Campagne'!$A$4:$AB$7,11,FALSE)))</f>
        <v xml:space="preserve"> </v>
      </c>
      <c r="S12" s="46" t="str">
        <f>IF($E12=0," ",IF($E12=$D$31,VLOOKUP($C12,'Valeurs Règlement Campagne'!$A$4:$AB$7,26,FALSE),VLOOKUP($C12,'Valeurs Règlement Campagne'!$A$4:$AB$7,12,FALSE)))</f>
        <v xml:space="preserve"> </v>
      </c>
      <c r="T12" s="47" t="str">
        <f>IF($E12=0," ",IF($E12=$D$31,VLOOKUP($C12,'Valeurs Règlement Campagne'!$A$4:$AB$7,28,FALSE),VLOOKUP($C12,'Valeurs Règlement Campagne'!$A$4:$AB$7,13,FALSE)))</f>
        <v xml:space="preserve"> </v>
      </c>
      <c r="U12" s="53" t="str" cm="1">
        <f t="array" ref="U12">IF(C12=0," ",IF(AND(E12="Connues",AH12&lt;&gt;"",COUNTIFS(AH$6:AH$29,AH12,C$6:C$29,C12)&gt;1),"Doublon",IF(AND(E12="Connues",SUMPRODUCT((E$6:E$29="Connues")*(C$6:C$29=C12)*(ROW($6:$29)&lt;&gt;ROW())*(ABS(F$6:F$29-F12)&lt;=2)*((ABS(F$6:F$29-VLOOKUP(C12,'Valeurs Règlement Campagne'!$A$4:$AB$7,14,FALSE))&lt;=2)+(ABS(F$6:F$29-VLOOKUP(C12,'Valeurs Règlement Campagne'!$A$4:$AB$7,15,FALSE))&lt;=2)+(ABS(F$6:F$29-VLOOKUP(C12,'Valeurs Règlement Campagne'!$A$4:$AB$7,16,FALSE))&lt;=2)))&gt;0),"Doublon",IF($C12=0," ",IF(F12=0," ",IF(E12="Inconnues",AND(F12&gt;=L12,F12&lt;=M12),IF(AND('Valeurs Règlement Campagne'!$L$14="OUI",E12="Connues"),AND(F12&gt;=L12-2,F12&lt;=M12+2),OR(F12=L12,F12=L12+5,F12=M12))))))))</f>
        <v xml:space="preserve"> </v>
      </c>
      <c r="V12" s="54" t="str" cm="1">
        <f t="array" ref="V12">IF(C12=0," ",IF(AND(E12="Connues",AH12&lt;&gt;"",COUNTIFS(AH$6:AH$29,AH12,C$6:C$29,C12)&gt;1),"Doublon",IF(AND(E12="Connues",SUMPRODUCT((E$6:E$29="Connues")*(C$6:C$29=C12)*(ROW($6:$29)&lt;&gt;ROW())*(ABS(G$6:G$29-G12)&lt;=2)*((ABS(G$6:G$29-VLOOKUP(C12,'Valeurs Règlement Campagne'!$A$4:$AB$7,17,FALSE))&lt;=2)+(ABS(G$6:G$29-VLOOKUP(C12,'Valeurs Règlement Campagne'!$A$4:$AB$7,18,FALSE))&lt;=2)+(ABS(G$6:G$29-VLOOKUP(C12,'Valeurs Règlement Campagne'!$A$4:$AB$7,19,FALSE))&lt;=2)))&gt;0),"Doublon",IF($C12=0," ",IF(G12=0," ",IF(E12="Inconnues",AND(G12&gt;=N12,G12&lt;=O12),IF(AND('Valeurs Règlement Campagne'!$L$14="OUI",E12="Connues"),AND(G12&gt;=N12-2,G12&lt;=O12+2),OR(G12=N12,G12=N12+5,G12=O12))))))))</f>
        <v xml:space="preserve"> </v>
      </c>
      <c r="W12" s="54" t="str" cm="1">
        <f t="array" ref="W12">IF(C12=0," ",IF(AND(E12="Connues",AE12&lt;&gt;"",COUNTIFS(AE$6:AE$29,AE12,C$6:C$29,C12)&gt;1),"Doublon",IF(AND(E12="Connues",SUMPRODUCT((E$6:E$29="Connues")*(C$6:C$29=C12)*(ROW($6:$29)&lt;&gt;ROW())*(ABS(H$6:H$29-H12)&lt;=2)*((ABS(H$6:H$29-VLOOKUP(C12,'Valeurs Règlement Campagne'!$A$4:$AB$7,20,FALSE))&lt;=2)+(ABS(H$6:H$29-VLOOKUP(C12,'Valeurs Règlement Campagne'!$A$4:$AB$7,21,FALSE))&lt;=2)+(ABS(H$6:H$29-VLOOKUP(C12,'Valeurs Règlement Campagne'!$A$4:$AB$7,22,FALSE))&lt;=2)))&gt;0),"Doublon",IF($C12=0," ",IF(H12=0," ",IF(E12="Inconnues",AND(H12&gt;=P12,H12&lt;=Q12),IF(AND('Valeurs Règlement Campagne'!$L$14="OUI",E12="Connues"),AND(H12&gt;=P12-2,H12&lt;=Q12+2),OR(H12=P12,H12=P12+5,H12=P12))))))))</f>
        <v xml:space="preserve"> </v>
      </c>
      <c r="X12" s="54" t="str" cm="1">
        <f t="array" ref="X12">IF(C12=0," ",IF(AND(E12="Connues",AH12&lt;&gt;"",COUNTIFS(AH$6:AH$29,AH12,C$6:C$29,C12)&gt;1),"Doublon",IF(AND(E12="Connues",SUMPRODUCT((E$6:E$29="Connues")*(C$6:C$29=C12)*(ROW($6:$29)&lt;&gt;ROW())*(ABS(I$6:I$29-I12)&lt;=2)*((ABS(I$6:I$29-VLOOKUP(C12,'Valeurs Règlement Campagne'!$A$4:$AB$7,23,FALSE))&lt;=2)+(ABS(I$6:I$29-VLOOKUP(C12,'Valeurs Règlement Campagne'!$A$4:$AB$7,24,FALSE))&lt;=2)+(ABS(I$6:I$29-VLOOKUP(C12,'Valeurs Règlement Campagne'!$A$4:$AB$7,25,FALSE))&lt;=2)))&gt;0),"Doublon",IF($C12=0," ",IF(I12=0," ",IF(E12="Inconnues",AND(I12&gt;=P12,I12&lt;=R12),IF(AND('Valeurs Règlement Campagne'!$L$14="OUI",E12="Connues"),AND(I12&gt;=P12-2,I12&lt;=R12+2),OR(I12=P12,I12=P12+5,I12=P12))))))))</f>
        <v xml:space="preserve"> </v>
      </c>
      <c r="Y12" s="218" t="str" cm="1">
        <f t="array" ref="Y12">IF(C12=0," ",IF(AND(E12="Connues",AH12&lt;&gt;"",COUNTIFS(AH$6:AH$29,AH12,C$6:C$29,C12)&gt;1),"Doublon",IF(AND(E12="Connues",SUMPRODUCT((E$6:E$29="Connues")*(C$6:C$29=C12)*(ROW($6:$29)&lt;&gt;ROW())*(ABS(J$6:J$29-J12)&lt;=2)*((ABS(J$6:J$29-VLOOKUP(C12,'Valeurs Règlement Campagne'!$A$4:$AB$7,26,FALSE))&lt;=2)+(ABS(J$6:J$29-VLOOKUP(C12,'Valeurs Règlement Campagne'!$A$4:$AB$7,27,FALSE))&lt;=2)+(ABS(J$6:J$29-VLOOKUP(C12,'Valeurs Règlement Campagne'!$A$4:$AB$7,28,FALSE))&lt;=2)))&gt;0),"Doublon",IF($C12=0," ",IF(J12=0," ",IF(E12="Inconnues",AND(J12&gt;=S12,J12&lt;=T12),IF(AND('Valeurs Règlement Campagne'!$L$14="OUI",E12="Connues"),AND(J12&gt;=S12-2,J12&lt;=T12+2),OR(J12=S12,J12=S12+5,J12=S12))))))))</f>
        <v xml:space="preserve"> </v>
      </c>
      <c r="Z12" s="235" t="str">
        <f t="shared" si="3"/>
        <v xml:space="preserve"> </v>
      </c>
      <c r="AA12" s="233"/>
      <c r="AB12" s="233" t="str">
        <f t="shared" si="0"/>
        <v xml:space="preserve"> </v>
      </c>
      <c r="AC12" s="233"/>
      <c r="AD12" s="233" t="str">
        <f t="shared" si="1"/>
        <v xml:space="preserve"> </v>
      </c>
      <c r="AE12" s="233"/>
      <c r="AF12" s="233" t="str">
        <f t="shared" si="4"/>
        <v xml:space="preserve"> </v>
      </c>
      <c r="AG12" s="234"/>
      <c r="AH12" s="55" t="str">
        <f t="shared" si="2"/>
        <v/>
      </c>
      <c r="AI12" s="44" t="str">
        <f>IF(
  E12="Connues",
  IF(
    ABS(F12 - VLOOKUP(C12,'Valeurs Règlement Campagne'!$A$4:$V$7,12,FALSE))&lt;=2,
    VLOOKUP(C12,'Valeurs Règlement Campagne'!$A$4:$V$7,12,FALSE),
    IF(
      ABS(F12 - VLOOKUP(C12,'Valeurs Règlement Campagne'!$A$4:$V$7,13,FALSE))&lt;=2,
      VLOOKUP(C12,'Valeurs Règlement Campagne'!$A$4:$V$7,13,FALSE),
      IF(
        ABS(F12 - VLOOKUP(C12,'Valeurs Règlement Campagne'!$A$4:$V$7,14,FALSE))&lt;=2,
        VLOOKUP(C12,'Valeurs Règlement Campagne'!$A$4:$V$7,14,FALSE),
        ""
      )
    )
  ),
  ""
)</f>
        <v/>
      </c>
      <c r="AJ12" s="44" t="str">
        <f>IF(
  E12="Connues",
  IF(
    ABS(G12 - VLOOKUP(C12,'Valeurs Règlement Campagne'!$A$4:$V$7,15,FALSE))&lt;=2,
    VLOOKUP(C12,'Valeurs Règlement Campagne'!$A$4:$V$7,15,FALSE),
    IF(
      ABS(G12 - VLOOKUP(C12,'Valeurs Règlement Campagne'!$A$4:$V$7,16,FALSE))&lt;=2,
      VLOOKUP(C12,'Valeurs Règlement Campagne'!$A$4:$V$7,16,FALSE),
      IF(
        ABS(G12 - VLOOKUP(C12,'Valeurs Règlement Campagne'!$A$4:$V$7,17,FALSE))&lt;=2,
        VLOOKUP(C12,'Valeurs Règlement Campagne'!$A$4:$V$7,17,FALSE),
        ""
      )
    )
  ),
  ""
)</f>
        <v/>
      </c>
      <c r="AK12" s="44" t="str">
        <f>IF(
  E12="Connues",
  IF(
    ABS(H12 - VLOOKUP(C12,'Valeurs Règlement Campagne'!$A$4:$V$7,15,FALSE))&lt;=2,
    VLOOKUP(C12,'Valeurs Règlement Campagne'!$A$4:$V$7,15,FALSE),
    IF(
      ABS(H12 - VLOOKUP(C12,'Valeurs Règlement Campagne'!$A$4:$V$7,16,FALSE))&lt;=2,
      VLOOKUP(C12,'Valeurs Règlement Campagne'!$A$4:$V$7,16,FALSE),
      IF(
        ABS(H12 - VLOOKUP(C12,'Valeurs Règlement Campagne'!$A$4:$V$7,17,FALSE))&lt;=2,
        VLOOKUP(C12,'Valeurs Règlement Campagne'!$A$4:$V$7,17,FALSE),
        ""
      )
    )
  ),
  ""
)</f>
        <v/>
      </c>
    </row>
    <row r="13" spans="1:37" ht="20.75" customHeight="1" thickBot="1">
      <c r="A13" s="195">
        <v>8</v>
      </c>
      <c r="B13" s="191"/>
      <c r="C13" s="291"/>
      <c r="D13" s="291"/>
      <c r="E13" s="196"/>
      <c r="F13" s="188"/>
      <c r="G13" s="105"/>
      <c r="H13" s="106"/>
      <c r="I13" s="185"/>
      <c r="J13" s="202"/>
      <c r="L13" s="46" t="str">
        <f>IF($E13=0," ",IF($E13=$D$31,VLOOKUP($C13,'Valeurs Règlement Campagne'!$A$4:$AB$7,14,FALSE),VLOOKUP($C13,'Valeurs Règlement Campagne'!$A$4:$M$7,4,FALSE)))</f>
        <v xml:space="preserve"> </v>
      </c>
      <c r="M13" s="47" t="str">
        <f>IF($E13=0," ",IF($E13=$D$31,VLOOKUP($C13,'Valeurs Règlement Campagne'!$A$4:$AB$7,16,FALSE),VLOOKUP($C13,'Valeurs Règlement Campagne'!$A$4:$AB$7,5,FALSE)))</f>
        <v xml:space="preserve"> </v>
      </c>
      <c r="N13" s="46" t="str">
        <f>IF($E13=0," ",IF($E13=$D$31,VLOOKUP($C13,'Valeurs Règlement Campagne'!$A$4:$AB$7,17,FALSE),VLOOKUP($C13,'Valeurs Règlement Campagne'!$A$4:$AB$7,6,FALSE)))</f>
        <v xml:space="preserve"> </v>
      </c>
      <c r="O13" s="48" t="str">
        <f>IF($E13=0," ",IF($E13=$D$31,VLOOKUP($C13,'Valeurs Règlement Campagne'!$A$4:$AB$7,19,FALSE),VLOOKUP($C13,'Valeurs Règlement Campagne'!$A$4:$AB$7,7,FALSE)))</f>
        <v xml:space="preserve"> </v>
      </c>
      <c r="P13" s="49" t="str">
        <f>IF($E13=0," ",IF($E13=$D$31,VLOOKUP($C13,'Valeurs Règlement Campagne'!$A$4:$AB$7,20,FALSE),VLOOKUP($C13,'Valeurs Règlement Campagne'!$A$4:$AB$7,8,FALSE)))</f>
        <v xml:space="preserve"> </v>
      </c>
      <c r="Q13" s="48" t="str">
        <f>IF($E13=0," ",IF($E13=$D$31,VLOOKUP($C13,'Valeurs Règlement Campagne'!$A$4:$AB$7,22,FALSE),VLOOKUP($C13,'Valeurs Règlement Campagne'!$A$4:$AB$7,9,FALSE)))</f>
        <v xml:space="preserve"> </v>
      </c>
      <c r="R13" s="52" t="str">
        <f>IF($E13=0," ",IF($E13=$D$31,VLOOKUP($C13,'Valeurs Règlement Campagne'!$A$4:$AB$7,25,FALSE),VLOOKUP($C13,'Valeurs Règlement Campagne'!$A$4:$AB$7,11,FALSE)))</f>
        <v xml:space="preserve"> </v>
      </c>
      <c r="S13" s="46" t="str">
        <f>IF($E13=0," ",IF($E13=$D$31,VLOOKUP($C13,'Valeurs Règlement Campagne'!$A$4:$AB$7,26,FALSE),VLOOKUP($C13,'Valeurs Règlement Campagne'!$A$4:$AB$7,12,FALSE)))</f>
        <v xml:space="preserve"> </v>
      </c>
      <c r="T13" s="47" t="str">
        <f>IF($E13=0," ",IF($E13=$D$31,VLOOKUP($C13,'Valeurs Règlement Campagne'!$A$4:$AB$7,28,FALSE),VLOOKUP($C13,'Valeurs Règlement Campagne'!$A$4:$AB$7,13,FALSE)))</f>
        <v xml:space="preserve"> </v>
      </c>
      <c r="U13" s="53" t="str" cm="1">
        <f t="array" ref="U13">IF(C13=0," ",IF(AND(E13="Connues",AH13&lt;&gt;"",COUNTIFS(AH$6:AH$29,AH13,C$6:C$29,C13)&gt;1),"Doublon",IF(AND(E13="Connues",SUMPRODUCT((E$6:E$29="Connues")*(C$6:C$29=C13)*(ROW($6:$29)&lt;&gt;ROW())*(ABS(F$6:F$29-F13)&lt;=2)*((ABS(F$6:F$29-VLOOKUP(C13,'Valeurs Règlement Campagne'!$A$4:$AB$7,14,FALSE))&lt;=2)+(ABS(F$6:F$29-VLOOKUP(C13,'Valeurs Règlement Campagne'!$A$4:$AB$7,15,FALSE))&lt;=2)+(ABS(F$6:F$29-VLOOKUP(C13,'Valeurs Règlement Campagne'!$A$4:$AB$7,16,FALSE))&lt;=2)))&gt;0),"Doublon",IF($C13=0," ",IF(F13=0," ",IF(E13="Inconnues",AND(F13&gt;=L13,F13&lt;=M13),IF(AND('Valeurs Règlement Campagne'!$L$14="OUI",E13="Connues"),AND(F13&gt;=L13-2,F13&lt;=M13+2),OR(F13=L13,F13=L13+5,F13=M13))))))))</f>
        <v xml:space="preserve"> </v>
      </c>
      <c r="V13" s="54" t="str" cm="1">
        <f t="array" ref="V13">IF(C13=0," ",IF(AND(E13="Connues",AH13&lt;&gt;"",COUNTIFS(AH$6:AH$29,AH13,C$6:C$29,C13)&gt;1),"Doublon",IF(AND(E13="Connues",SUMPRODUCT((E$6:E$29="Connues")*(C$6:C$29=C13)*(ROW($6:$29)&lt;&gt;ROW())*(ABS(G$6:G$29-G13)&lt;=2)*((ABS(G$6:G$29-VLOOKUP(C13,'Valeurs Règlement Campagne'!$A$4:$AB$7,17,FALSE))&lt;=2)+(ABS(G$6:G$29-VLOOKUP(C13,'Valeurs Règlement Campagne'!$A$4:$AB$7,18,FALSE))&lt;=2)+(ABS(G$6:G$29-VLOOKUP(C13,'Valeurs Règlement Campagne'!$A$4:$AB$7,19,FALSE))&lt;=2)))&gt;0),"Doublon",IF($C13=0," ",IF(G13=0," ",IF(E13="Inconnues",AND(G13&gt;=N13,G13&lt;=O13),IF(AND('Valeurs Règlement Campagne'!$L$14="OUI",E13="Connues"),AND(G13&gt;=N13-2,G13&lt;=O13+2),OR(G13=N13,G13=N13+5,G13=O13))))))))</f>
        <v xml:space="preserve"> </v>
      </c>
      <c r="W13" s="54" t="str" cm="1">
        <f t="array" ref="W13">IF(C13=0," ",IF(AND(E13="Connues",AE13&lt;&gt;"",COUNTIFS(AE$6:AE$29,AE13,C$6:C$29,C13)&gt;1),"Doublon",IF(AND(E13="Connues",SUMPRODUCT((E$6:E$29="Connues")*(C$6:C$29=C13)*(ROW($6:$29)&lt;&gt;ROW())*(ABS(H$6:H$29-H13)&lt;=2)*((ABS(H$6:H$29-VLOOKUP(C13,'Valeurs Règlement Campagne'!$A$4:$AB$7,20,FALSE))&lt;=2)+(ABS(H$6:H$29-VLOOKUP(C13,'Valeurs Règlement Campagne'!$A$4:$AB$7,21,FALSE))&lt;=2)+(ABS(H$6:H$29-VLOOKUP(C13,'Valeurs Règlement Campagne'!$A$4:$AB$7,22,FALSE))&lt;=2)))&gt;0),"Doublon",IF($C13=0," ",IF(H13=0," ",IF(E13="Inconnues",AND(H13&gt;=P13,H13&lt;=Q13),IF(AND('Valeurs Règlement Campagne'!$L$14="OUI",E13="Connues"),AND(H13&gt;=P13-2,H13&lt;=Q13+2),OR(H13=P13,H13=P13+5,H13=P13))))))))</f>
        <v xml:space="preserve"> </v>
      </c>
      <c r="X13" s="54" t="str" cm="1">
        <f t="array" ref="X13">IF(C13=0," ",IF(AND(E13="Connues",AH13&lt;&gt;"",COUNTIFS(AH$6:AH$29,AH13,C$6:C$29,C13)&gt;1),"Doublon",IF(AND(E13="Connues",SUMPRODUCT((E$6:E$29="Connues")*(C$6:C$29=C13)*(ROW($6:$29)&lt;&gt;ROW())*(ABS(I$6:I$29-I13)&lt;=2)*((ABS(I$6:I$29-VLOOKUP(C13,'Valeurs Règlement Campagne'!$A$4:$AB$7,23,FALSE))&lt;=2)+(ABS(I$6:I$29-VLOOKUP(C13,'Valeurs Règlement Campagne'!$A$4:$AB$7,24,FALSE))&lt;=2)+(ABS(I$6:I$29-VLOOKUP(C13,'Valeurs Règlement Campagne'!$A$4:$AB$7,25,FALSE))&lt;=2)))&gt;0),"Doublon",IF($C13=0," ",IF(I13=0," ",IF(E13="Inconnues",AND(I13&gt;=P13,I13&lt;=R13),IF(AND('Valeurs Règlement Campagne'!$L$14="OUI",E13="Connues"),AND(I13&gt;=P13-2,I13&lt;=R13+2),OR(I13=P13,I13=P13+5,I13=P13))))))))</f>
        <v xml:space="preserve"> </v>
      </c>
      <c r="Y13" s="218" t="str" cm="1">
        <f t="array" ref="Y13">IF(C13=0," ",IF(AND(E13="Connues",AH13&lt;&gt;"",COUNTIFS(AH$6:AH$29,AH13,C$6:C$29,C13)&gt;1),"Doublon",IF(AND(E13="Connues",SUMPRODUCT((E$6:E$29="Connues")*(C$6:C$29=C13)*(ROW($6:$29)&lt;&gt;ROW())*(ABS(J$6:J$29-J13)&lt;=2)*((ABS(J$6:J$29-VLOOKUP(C13,'Valeurs Règlement Campagne'!$A$4:$AB$7,26,FALSE))&lt;=2)+(ABS(J$6:J$29-VLOOKUP(C13,'Valeurs Règlement Campagne'!$A$4:$AB$7,27,FALSE))&lt;=2)+(ABS(J$6:J$29-VLOOKUP(C13,'Valeurs Règlement Campagne'!$A$4:$AB$7,28,FALSE))&lt;=2)))&gt;0),"Doublon",IF($C13=0," ",IF(J13=0," ",IF(E13="Inconnues",AND(J13&gt;=S13,J13&lt;=T13),IF(AND('Valeurs Règlement Campagne'!$L$14="OUI",E13="Connues"),AND(J13&gt;=S13-2,J13&lt;=T13+2),OR(J13=S13,J13=S13+5,J13=S13))))))))</f>
        <v xml:space="preserve"> </v>
      </c>
      <c r="Z13" s="235" t="str">
        <f t="shared" si="3"/>
        <v xml:space="preserve"> </v>
      </c>
      <c r="AA13" s="233"/>
      <c r="AB13" s="233" t="str">
        <f t="shared" si="0"/>
        <v xml:space="preserve"> </v>
      </c>
      <c r="AC13" s="233"/>
      <c r="AD13" s="233" t="str">
        <f t="shared" si="1"/>
        <v xml:space="preserve"> </v>
      </c>
      <c r="AE13" s="233"/>
      <c r="AF13" s="233" t="str">
        <f t="shared" si="4"/>
        <v xml:space="preserve"> </v>
      </c>
      <c r="AG13" s="234"/>
      <c r="AH13" s="55" t="str">
        <f t="shared" si="2"/>
        <v/>
      </c>
      <c r="AI13" s="44" t="str">
        <f>IF(
  E13="Connues",
  IF(
    ABS(F13 - VLOOKUP(C13,'Valeurs Règlement Campagne'!$A$4:$V$7,12,FALSE))&lt;=2,
    VLOOKUP(C13,'Valeurs Règlement Campagne'!$A$4:$V$7,12,FALSE),
    IF(
      ABS(F13 - VLOOKUP(C13,'Valeurs Règlement Campagne'!$A$4:$V$7,13,FALSE))&lt;=2,
      VLOOKUP(C13,'Valeurs Règlement Campagne'!$A$4:$V$7,13,FALSE),
      IF(
        ABS(F13 - VLOOKUP(C13,'Valeurs Règlement Campagne'!$A$4:$V$7,14,FALSE))&lt;=2,
        VLOOKUP(C13,'Valeurs Règlement Campagne'!$A$4:$V$7,14,FALSE),
        ""
      )
    )
  ),
  ""
)</f>
        <v/>
      </c>
      <c r="AJ13" s="44" t="str">
        <f>IF(
  E13="Connues",
  IF(
    ABS(G13 - VLOOKUP(C13,'Valeurs Règlement Campagne'!$A$4:$V$7,15,FALSE))&lt;=2,
    VLOOKUP(C13,'Valeurs Règlement Campagne'!$A$4:$V$7,15,FALSE),
    IF(
      ABS(G13 - VLOOKUP(C13,'Valeurs Règlement Campagne'!$A$4:$V$7,16,FALSE))&lt;=2,
      VLOOKUP(C13,'Valeurs Règlement Campagne'!$A$4:$V$7,16,FALSE),
      IF(
        ABS(G13 - VLOOKUP(C13,'Valeurs Règlement Campagne'!$A$4:$V$7,17,FALSE))&lt;=2,
        VLOOKUP(C13,'Valeurs Règlement Campagne'!$A$4:$V$7,17,FALSE),
        ""
      )
    )
  ),
  ""
)</f>
        <v/>
      </c>
      <c r="AK13" s="44" t="str">
        <f>IF(
  E13="Connues",
  IF(
    ABS(H13 - VLOOKUP(C13,'Valeurs Règlement Campagne'!$A$4:$V$7,15,FALSE))&lt;=2,
    VLOOKUP(C13,'Valeurs Règlement Campagne'!$A$4:$V$7,15,FALSE),
    IF(
      ABS(H13 - VLOOKUP(C13,'Valeurs Règlement Campagne'!$A$4:$V$7,16,FALSE))&lt;=2,
      VLOOKUP(C13,'Valeurs Règlement Campagne'!$A$4:$V$7,16,FALSE),
      IF(
        ABS(H13 - VLOOKUP(C13,'Valeurs Règlement Campagne'!$A$4:$V$7,17,FALSE))&lt;=2,
        VLOOKUP(C13,'Valeurs Règlement Campagne'!$A$4:$V$7,17,FALSE),
        ""
      )
    )
  ),
  ""
)</f>
        <v/>
      </c>
    </row>
    <row r="14" spans="1:37" ht="20.75" customHeight="1" thickBot="1">
      <c r="A14" s="195">
        <v>9</v>
      </c>
      <c r="B14" s="191"/>
      <c r="C14" s="291"/>
      <c r="D14" s="291"/>
      <c r="E14" s="196"/>
      <c r="F14" s="188"/>
      <c r="G14" s="105"/>
      <c r="H14" s="106"/>
      <c r="I14" s="185"/>
      <c r="J14" s="202"/>
      <c r="L14" s="46" t="str">
        <f>IF($E14=0," ",IF($E14=$D$31,VLOOKUP($C14,'Valeurs Règlement Campagne'!$A$4:$AB$7,14,FALSE),VLOOKUP($C14,'Valeurs Règlement Campagne'!$A$4:$M$7,4,FALSE)))</f>
        <v xml:space="preserve"> </v>
      </c>
      <c r="M14" s="47" t="str">
        <f>IF($E14=0," ",IF($E14=$D$31,VLOOKUP($C14,'Valeurs Règlement Campagne'!$A$4:$AB$7,16,FALSE),VLOOKUP($C14,'Valeurs Règlement Campagne'!$A$4:$AB$7,5,FALSE)))</f>
        <v xml:space="preserve"> </v>
      </c>
      <c r="N14" s="46" t="str">
        <f>IF($E14=0," ",IF($E14=$D$31,VLOOKUP($C14,'Valeurs Règlement Campagne'!$A$4:$AB$7,17,FALSE),VLOOKUP($C14,'Valeurs Règlement Campagne'!$A$4:$AB$7,6,FALSE)))</f>
        <v xml:space="preserve"> </v>
      </c>
      <c r="O14" s="48" t="str">
        <f>IF($E14=0," ",IF($E14=$D$31,VLOOKUP($C14,'Valeurs Règlement Campagne'!$A$4:$AB$7,19,FALSE),VLOOKUP($C14,'Valeurs Règlement Campagne'!$A$4:$AB$7,7,FALSE)))</f>
        <v xml:space="preserve"> </v>
      </c>
      <c r="P14" s="49" t="str">
        <f>IF($E14=0," ",IF($E14=$D$31,VLOOKUP($C14,'Valeurs Règlement Campagne'!$A$4:$AB$7,20,FALSE),VLOOKUP($C14,'Valeurs Règlement Campagne'!$A$4:$AB$7,8,FALSE)))</f>
        <v xml:space="preserve"> </v>
      </c>
      <c r="Q14" s="48" t="str">
        <f>IF($E14=0," ",IF($E14=$D$31,VLOOKUP($C14,'Valeurs Règlement Campagne'!$A$4:$AB$7,22,FALSE),VLOOKUP($C14,'Valeurs Règlement Campagne'!$A$4:$AB$7,9,FALSE)))</f>
        <v xml:space="preserve"> </v>
      </c>
      <c r="R14" s="52" t="str">
        <f>IF($E14=0," ",IF($E14=$D$31,VLOOKUP($C14,'Valeurs Règlement Campagne'!$A$4:$AB$7,25,FALSE),VLOOKUP($C14,'Valeurs Règlement Campagne'!$A$4:$AB$7,11,FALSE)))</f>
        <v xml:space="preserve"> </v>
      </c>
      <c r="S14" s="46" t="str">
        <f>IF($E14=0," ",IF($E14=$D$31,VLOOKUP($C14,'Valeurs Règlement Campagne'!$A$4:$AB$7,26,FALSE),VLOOKUP($C14,'Valeurs Règlement Campagne'!$A$4:$AB$7,12,FALSE)))</f>
        <v xml:space="preserve"> </v>
      </c>
      <c r="T14" s="47" t="str">
        <f>IF($E14=0," ",IF($E14=$D$31,VLOOKUP($C14,'Valeurs Règlement Campagne'!$A$4:$AB$7,28,FALSE),VLOOKUP($C14,'Valeurs Règlement Campagne'!$A$4:$AB$7,13,FALSE)))</f>
        <v xml:space="preserve"> </v>
      </c>
      <c r="U14" s="53" t="str" cm="1">
        <f t="array" ref="U14">IF(C14=0," ",IF(AND(E14="Connues",AH14&lt;&gt;"",COUNTIFS(AH$6:AH$29,AH14,C$6:C$29,C14)&gt;1),"Doublon",IF(AND(E14="Connues",SUMPRODUCT((E$6:E$29="Connues")*(C$6:C$29=C14)*(ROW($6:$29)&lt;&gt;ROW())*(ABS(F$6:F$29-F14)&lt;=2)*((ABS(F$6:F$29-VLOOKUP(C14,'Valeurs Règlement Campagne'!$A$4:$AB$7,14,FALSE))&lt;=2)+(ABS(F$6:F$29-VLOOKUP(C14,'Valeurs Règlement Campagne'!$A$4:$AB$7,15,FALSE))&lt;=2)+(ABS(F$6:F$29-VLOOKUP(C14,'Valeurs Règlement Campagne'!$A$4:$AB$7,16,FALSE))&lt;=2)))&gt;0),"Doublon",IF($C14=0," ",IF(F14=0," ",IF(E14="Inconnues",AND(F14&gt;=L14,F14&lt;=M14),IF(AND('Valeurs Règlement Campagne'!$L$14="OUI",E14="Connues"),AND(F14&gt;=L14-2,F14&lt;=M14+2),OR(F14=L14,F14=L14+5,F14=M14))))))))</f>
        <v xml:space="preserve"> </v>
      </c>
      <c r="V14" s="54" t="str" cm="1">
        <f t="array" ref="V14">IF(C14=0," ",IF(AND(E14="Connues",AH14&lt;&gt;"",COUNTIFS(AH$6:AH$29,AH14,C$6:C$29,C14)&gt;1),"Doublon",IF(AND(E14="Connues",SUMPRODUCT((E$6:E$29="Connues")*(C$6:C$29=C14)*(ROW($6:$29)&lt;&gt;ROW())*(ABS(G$6:G$29-G14)&lt;=2)*((ABS(G$6:G$29-VLOOKUP(C14,'Valeurs Règlement Campagne'!$A$4:$AB$7,17,FALSE))&lt;=2)+(ABS(G$6:G$29-VLOOKUP(C14,'Valeurs Règlement Campagne'!$A$4:$AB$7,18,FALSE))&lt;=2)+(ABS(G$6:G$29-VLOOKUP(C14,'Valeurs Règlement Campagne'!$A$4:$AB$7,19,FALSE))&lt;=2)))&gt;0),"Doublon",IF($C14=0," ",IF(G14=0," ",IF(E14="Inconnues",AND(G14&gt;=N14,G14&lt;=O14),IF(AND('Valeurs Règlement Campagne'!$L$14="OUI",E14="Connues"),AND(G14&gt;=N14-2,G14&lt;=O14+2),OR(G14=N14,G14=N14+5,G14=O14))))))))</f>
        <v xml:space="preserve"> </v>
      </c>
      <c r="W14" s="54" t="str" cm="1">
        <f t="array" ref="W14">IF(C14=0," ",IF(AND(E14="Connues",AE14&lt;&gt;"",COUNTIFS(AE$6:AE$29,AE14,C$6:C$29,C14)&gt;1),"Doublon",IF(AND(E14="Connues",SUMPRODUCT((E$6:E$29="Connues")*(C$6:C$29=C14)*(ROW($6:$29)&lt;&gt;ROW())*(ABS(H$6:H$29-H14)&lt;=2)*((ABS(H$6:H$29-VLOOKUP(C14,'Valeurs Règlement Campagne'!$A$4:$AB$7,20,FALSE))&lt;=2)+(ABS(H$6:H$29-VLOOKUP(C14,'Valeurs Règlement Campagne'!$A$4:$AB$7,21,FALSE))&lt;=2)+(ABS(H$6:H$29-VLOOKUP(C14,'Valeurs Règlement Campagne'!$A$4:$AB$7,22,FALSE))&lt;=2)))&gt;0),"Doublon",IF($C14=0," ",IF(H14=0," ",IF(E14="Inconnues",AND(H14&gt;=P14,H14&lt;=Q14),IF(AND('Valeurs Règlement Campagne'!$L$14="OUI",E14="Connues"),AND(H14&gt;=P14-2,H14&lt;=Q14+2),OR(H14=P14,H14=P14+5,H14=P14))))))))</f>
        <v xml:space="preserve"> </v>
      </c>
      <c r="X14" s="54" t="str" cm="1">
        <f t="array" ref="X14">IF(C14=0," ",IF(AND(E14="Connues",AH14&lt;&gt;"",COUNTIFS(AH$6:AH$29,AH14,C$6:C$29,C14)&gt;1),"Doublon",IF(AND(E14="Connues",SUMPRODUCT((E$6:E$29="Connues")*(C$6:C$29=C14)*(ROW($6:$29)&lt;&gt;ROW())*(ABS(I$6:I$29-I14)&lt;=2)*((ABS(I$6:I$29-VLOOKUP(C14,'Valeurs Règlement Campagne'!$A$4:$AB$7,23,FALSE))&lt;=2)+(ABS(I$6:I$29-VLOOKUP(C14,'Valeurs Règlement Campagne'!$A$4:$AB$7,24,FALSE))&lt;=2)+(ABS(I$6:I$29-VLOOKUP(C14,'Valeurs Règlement Campagne'!$A$4:$AB$7,25,FALSE))&lt;=2)))&gt;0),"Doublon",IF($C14=0," ",IF(I14=0," ",IF(E14="Inconnues",AND(I14&gt;=P14,I14&lt;=R14),IF(AND('Valeurs Règlement Campagne'!$L$14="OUI",E14="Connues"),AND(I14&gt;=P14-2,I14&lt;=R14+2),OR(I14=P14,I14=P14+5,I14=P14))))))))</f>
        <v xml:space="preserve"> </v>
      </c>
      <c r="Y14" s="218" t="str" cm="1">
        <f t="array" ref="Y14">IF(C14=0," ",IF(AND(E14="Connues",AH14&lt;&gt;"",COUNTIFS(AH$6:AH$29,AH14,C$6:C$29,C14)&gt;1),"Doublon",IF(AND(E14="Connues",SUMPRODUCT((E$6:E$29="Connues")*(C$6:C$29=C14)*(ROW($6:$29)&lt;&gt;ROW())*(ABS(J$6:J$29-J14)&lt;=2)*((ABS(J$6:J$29-VLOOKUP(C14,'Valeurs Règlement Campagne'!$A$4:$AB$7,26,FALSE))&lt;=2)+(ABS(J$6:J$29-VLOOKUP(C14,'Valeurs Règlement Campagne'!$A$4:$AB$7,27,FALSE))&lt;=2)+(ABS(J$6:J$29-VLOOKUP(C14,'Valeurs Règlement Campagne'!$A$4:$AB$7,28,FALSE))&lt;=2)))&gt;0),"Doublon",IF($C14=0," ",IF(J14=0," ",IF(E14="Inconnues",AND(J14&gt;=S14,J14&lt;=T14),IF(AND('Valeurs Règlement Campagne'!$L$14="OUI",E14="Connues"),AND(J14&gt;=S14-2,J14&lt;=T14+2),OR(J14=S14,J14=S14+5,J14=S14))))))))</f>
        <v xml:space="preserve"> </v>
      </c>
      <c r="Z14" s="235" t="str">
        <f t="shared" si="3"/>
        <v xml:space="preserve"> </v>
      </c>
      <c r="AA14" s="233"/>
      <c r="AB14" s="233" t="str">
        <f t="shared" si="0"/>
        <v xml:space="preserve"> </v>
      </c>
      <c r="AC14" s="233"/>
      <c r="AD14" s="233" t="str">
        <f t="shared" si="1"/>
        <v xml:space="preserve"> </v>
      </c>
      <c r="AE14" s="233"/>
      <c r="AF14" s="233" t="str">
        <f t="shared" si="4"/>
        <v xml:space="preserve"> </v>
      </c>
      <c r="AG14" s="234"/>
      <c r="AH14" s="55" t="str">
        <f t="shared" si="2"/>
        <v/>
      </c>
      <c r="AI14" s="44" t="str">
        <f>IF(
  E14="Connues",
  IF(
    ABS(F14 - VLOOKUP(C14,'Valeurs Règlement Campagne'!$A$4:$V$7,12,FALSE))&lt;=2,
    VLOOKUP(C14,'Valeurs Règlement Campagne'!$A$4:$V$7,12,FALSE),
    IF(
      ABS(F14 - VLOOKUP(C14,'Valeurs Règlement Campagne'!$A$4:$V$7,13,FALSE))&lt;=2,
      VLOOKUP(C14,'Valeurs Règlement Campagne'!$A$4:$V$7,13,FALSE),
      IF(
        ABS(F14 - VLOOKUP(C14,'Valeurs Règlement Campagne'!$A$4:$V$7,14,FALSE))&lt;=2,
        VLOOKUP(C14,'Valeurs Règlement Campagne'!$A$4:$V$7,14,FALSE),
        ""
      )
    )
  ),
  ""
)</f>
        <v/>
      </c>
      <c r="AJ14" s="44" t="str">
        <f>IF(
  E14="Connues",
  IF(
    ABS(G14 - VLOOKUP(C14,'Valeurs Règlement Campagne'!$A$4:$V$7,15,FALSE))&lt;=2,
    VLOOKUP(C14,'Valeurs Règlement Campagne'!$A$4:$V$7,15,FALSE),
    IF(
      ABS(G14 - VLOOKUP(C14,'Valeurs Règlement Campagne'!$A$4:$V$7,16,FALSE))&lt;=2,
      VLOOKUP(C14,'Valeurs Règlement Campagne'!$A$4:$V$7,16,FALSE),
      IF(
        ABS(G14 - VLOOKUP(C14,'Valeurs Règlement Campagne'!$A$4:$V$7,17,FALSE))&lt;=2,
        VLOOKUP(C14,'Valeurs Règlement Campagne'!$A$4:$V$7,17,FALSE),
        ""
      )
    )
  ),
  ""
)</f>
        <v/>
      </c>
      <c r="AK14" s="44" t="str">
        <f>IF(
  E14="Connues",
  IF(
    ABS(H14 - VLOOKUP(C14,'Valeurs Règlement Campagne'!$A$4:$V$7,15,FALSE))&lt;=2,
    VLOOKUP(C14,'Valeurs Règlement Campagne'!$A$4:$V$7,15,FALSE),
    IF(
      ABS(H14 - VLOOKUP(C14,'Valeurs Règlement Campagne'!$A$4:$V$7,16,FALSE))&lt;=2,
      VLOOKUP(C14,'Valeurs Règlement Campagne'!$A$4:$V$7,16,FALSE),
      IF(
        ABS(H14 - VLOOKUP(C14,'Valeurs Règlement Campagne'!$A$4:$V$7,17,FALSE))&lt;=2,
        VLOOKUP(C14,'Valeurs Règlement Campagne'!$A$4:$V$7,17,FALSE),
        ""
      )
    )
  ),
  ""
)</f>
        <v/>
      </c>
    </row>
    <row r="15" spans="1:37" ht="20.75" customHeight="1" thickBot="1">
      <c r="A15" s="195">
        <v>10</v>
      </c>
      <c r="B15" s="191"/>
      <c r="C15" s="291"/>
      <c r="D15" s="291"/>
      <c r="E15" s="196"/>
      <c r="F15" s="188"/>
      <c r="G15" s="105"/>
      <c r="H15" s="106"/>
      <c r="I15" s="185"/>
      <c r="J15" s="202"/>
      <c r="L15" s="46" t="str">
        <f>IF($E15=0," ",IF($E15=$D$31,VLOOKUP($C15,'Valeurs Règlement Campagne'!$A$4:$AB$7,14,FALSE),VLOOKUP($C15,'Valeurs Règlement Campagne'!$A$4:$M$7,4,FALSE)))</f>
        <v xml:space="preserve"> </v>
      </c>
      <c r="M15" s="47" t="str">
        <f>IF($E15=0," ",IF($E15=$D$31,VLOOKUP($C15,'Valeurs Règlement Campagne'!$A$4:$AB$7,16,FALSE),VLOOKUP($C15,'Valeurs Règlement Campagne'!$A$4:$AB$7,5,FALSE)))</f>
        <v xml:space="preserve"> </v>
      </c>
      <c r="N15" s="46" t="str">
        <f>IF($E15=0," ",IF($E15=$D$31,VLOOKUP($C15,'Valeurs Règlement Campagne'!$A$4:$AB$7,17,FALSE),VLOOKUP($C15,'Valeurs Règlement Campagne'!$A$4:$AB$7,6,FALSE)))</f>
        <v xml:space="preserve"> </v>
      </c>
      <c r="O15" s="48" t="str">
        <f>IF($E15=0," ",IF($E15=$D$31,VLOOKUP($C15,'Valeurs Règlement Campagne'!$A$4:$AB$7,19,FALSE),VLOOKUP($C15,'Valeurs Règlement Campagne'!$A$4:$AB$7,7,FALSE)))</f>
        <v xml:space="preserve"> </v>
      </c>
      <c r="P15" s="49" t="str">
        <f>IF($E15=0," ",IF($E15=$D$31,VLOOKUP($C15,'Valeurs Règlement Campagne'!$A$4:$AB$7,20,FALSE),VLOOKUP($C15,'Valeurs Règlement Campagne'!$A$4:$AB$7,8,FALSE)))</f>
        <v xml:space="preserve"> </v>
      </c>
      <c r="Q15" s="48" t="str">
        <f>IF($E15=0," ",IF($E15=$D$31,VLOOKUP($C15,'Valeurs Règlement Campagne'!$A$4:$AB$7,22,FALSE),VLOOKUP($C15,'Valeurs Règlement Campagne'!$A$4:$AB$7,9,FALSE)))</f>
        <v xml:space="preserve"> </v>
      </c>
      <c r="R15" s="52" t="str">
        <f>IF($E15=0," ",IF($E15=$D$31,VLOOKUP($C15,'Valeurs Règlement Campagne'!$A$4:$AB$7,25,FALSE),VLOOKUP($C15,'Valeurs Règlement Campagne'!$A$4:$AB$7,11,FALSE)))</f>
        <v xml:space="preserve"> </v>
      </c>
      <c r="S15" s="46" t="str">
        <f>IF($E15=0," ",IF($E15=$D$31,VLOOKUP($C15,'Valeurs Règlement Campagne'!$A$4:$AB$7,26,FALSE),VLOOKUP($C15,'Valeurs Règlement Campagne'!$A$4:$AB$7,12,FALSE)))</f>
        <v xml:space="preserve"> </v>
      </c>
      <c r="T15" s="47" t="str">
        <f>IF($E15=0," ",IF($E15=$D$31,VLOOKUP($C15,'Valeurs Règlement Campagne'!$A$4:$AB$7,28,FALSE),VLOOKUP($C15,'Valeurs Règlement Campagne'!$A$4:$AB$7,13,FALSE)))</f>
        <v xml:space="preserve"> </v>
      </c>
      <c r="U15" s="53" t="str" cm="1">
        <f t="array" ref="U15">IF(C15=0," ",IF(AND(E15="Connues",AH15&lt;&gt;"",COUNTIFS(AH$6:AH$29,AH15,C$6:C$29,C15)&gt;1),"Doublon",IF(AND(E15="Connues",SUMPRODUCT((E$6:E$29="Connues")*(C$6:C$29=C15)*(ROW($6:$29)&lt;&gt;ROW())*(ABS(F$6:F$29-F15)&lt;=2)*((ABS(F$6:F$29-VLOOKUP(C15,'Valeurs Règlement Campagne'!$A$4:$AB$7,14,FALSE))&lt;=2)+(ABS(F$6:F$29-VLOOKUP(C15,'Valeurs Règlement Campagne'!$A$4:$AB$7,15,FALSE))&lt;=2)+(ABS(F$6:F$29-VLOOKUP(C15,'Valeurs Règlement Campagne'!$A$4:$AB$7,16,FALSE))&lt;=2)))&gt;0),"Doublon",IF($C15=0," ",IF(F15=0," ",IF(E15="Inconnues",AND(F15&gt;=L15,F15&lt;=M15),IF(AND('Valeurs Règlement Campagne'!$L$14="OUI",E15="Connues"),AND(F15&gt;=L15-2,F15&lt;=M15+2),OR(F15=L15,F15=L15+5,F15=M15))))))))</f>
        <v xml:space="preserve"> </v>
      </c>
      <c r="V15" s="54" t="str" cm="1">
        <f t="array" ref="V15">IF(C15=0," ",IF(AND(E15="Connues",AH15&lt;&gt;"",COUNTIFS(AH$6:AH$29,AH15,C$6:C$29,C15)&gt;1),"Doublon",IF(AND(E15="Connues",SUMPRODUCT((E$6:E$29="Connues")*(C$6:C$29=C15)*(ROW($6:$29)&lt;&gt;ROW())*(ABS(G$6:G$29-G15)&lt;=2)*((ABS(G$6:G$29-VLOOKUP(C15,'Valeurs Règlement Campagne'!$A$4:$AB$7,17,FALSE))&lt;=2)+(ABS(G$6:G$29-VLOOKUP(C15,'Valeurs Règlement Campagne'!$A$4:$AB$7,18,FALSE))&lt;=2)+(ABS(G$6:G$29-VLOOKUP(C15,'Valeurs Règlement Campagne'!$A$4:$AB$7,19,FALSE))&lt;=2)))&gt;0),"Doublon",IF($C15=0," ",IF(G15=0," ",IF(E15="Inconnues",AND(G15&gt;=N15,G15&lt;=O15),IF(AND('Valeurs Règlement Campagne'!$L$14="OUI",E15="Connues"),AND(G15&gt;=N15-2,G15&lt;=O15+2),OR(G15=N15,G15=N15+5,G15=O15))))))))</f>
        <v xml:space="preserve"> </v>
      </c>
      <c r="W15" s="54" t="str" cm="1">
        <f t="array" ref="W15">IF(C15=0," ",IF(AND(E15="Connues",AE15&lt;&gt;"",COUNTIFS(AE$6:AE$29,AE15,C$6:C$29,C15)&gt;1),"Doublon",IF(AND(E15="Connues",SUMPRODUCT((E$6:E$29="Connues")*(C$6:C$29=C15)*(ROW($6:$29)&lt;&gt;ROW())*(ABS(H$6:H$29-H15)&lt;=2)*((ABS(H$6:H$29-VLOOKUP(C15,'Valeurs Règlement Campagne'!$A$4:$AB$7,20,FALSE))&lt;=2)+(ABS(H$6:H$29-VLOOKUP(C15,'Valeurs Règlement Campagne'!$A$4:$AB$7,21,FALSE))&lt;=2)+(ABS(H$6:H$29-VLOOKUP(C15,'Valeurs Règlement Campagne'!$A$4:$AB$7,22,FALSE))&lt;=2)))&gt;0),"Doublon",IF($C15=0," ",IF(H15=0," ",IF(E15="Inconnues",AND(H15&gt;=P15,H15&lt;=Q15),IF(AND('Valeurs Règlement Campagne'!$L$14="OUI",E15="Connues"),AND(H15&gt;=P15-2,H15&lt;=Q15+2),OR(H15=P15,H15=P15+5,H15=P15))))))))</f>
        <v xml:space="preserve"> </v>
      </c>
      <c r="X15" s="54" t="str" cm="1">
        <f t="array" ref="X15">IF(C15=0," ",IF(AND(E15="Connues",AH15&lt;&gt;"",COUNTIFS(AH$6:AH$29,AH15,C$6:C$29,C15)&gt;1),"Doublon",IF(AND(E15="Connues",SUMPRODUCT((E$6:E$29="Connues")*(C$6:C$29=C15)*(ROW($6:$29)&lt;&gt;ROW())*(ABS(I$6:I$29-I15)&lt;=2)*((ABS(I$6:I$29-VLOOKUP(C15,'Valeurs Règlement Campagne'!$A$4:$AB$7,23,FALSE))&lt;=2)+(ABS(I$6:I$29-VLOOKUP(C15,'Valeurs Règlement Campagne'!$A$4:$AB$7,24,FALSE))&lt;=2)+(ABS(I$6:I$29-VLOOKUP(C15,'Valeurs Règlement Campagne'!$A$4:$AB$7,25,FALSE))&lt;=2)))&gt;0),"Doublon",IF($C15=0," ",IF(I15=0," ",IF(E15="Inconnues",AND(I15&gt;=P15,I15&lt;=R15),IF(AND('Valeurs Règlement Campagne'!$L$14="OUI",E15="Connues"),AND(I15&gt;=P15-2,I15&lt;=R15+2),OR(I15=P15,I15=P15+5,I15=P15))))))))</f>
        <v xml:space="preserve"> </v>
      </c>
      <c r="Y15" s="218" t="str" cm="1">
        <f t="array" ref="Y15">IF(C15=0," ",IF(AND(E15="Connues",AH15&lt;&gt;"",COUNTIFS(AH$6:AH$29,AH15,C$6:C$29,C15)&gt;1),"Doublon",IF(AND(E15="Connues",SUMPRODUCT((E$6:E$29="Connues")*(C$6:C$29=C15)*(ROW($6:$29)&lt;&gt;ROW())*(ABS(J$6:J$29-J15)&lt;=2)*((ABS(J$6:J$29-VLOOKUP(C15,'Valeurs Règlement Campagne'!$A$4:$AB$7,26,FALSE))&lt;=2)+(ABS(J$6:J$29-VLOOKUP(C15,'Valeurs Règlement Campagne'!$A$4:$AB$7,27,FALSE))&lt;=2)+(ABS(J$6:J$29-VLOOKUP(C15,'Valeurs Règlement Campagne'!$A$4:$AB$7,28,FALSE))&lt;=2)))&gt;0),"Doublon",IF($C15=0," ",IF(J15=0," ",IF(E15="Inconnues",AND(J15&gt;=S15,J15&lt;=T15),IF(AND('Valeurs Règlement Campagne'!$L$14="OUI",E15="Connues"),AND(J15&gt;=S15-2,J15&lt;=T15+2),OR(J15=S15,J15=S15+5,J15=S15))))))))</f>
        <v xml:space="preserve"> </v>
      </c>
      <c r="Z15" s="235" t="str">
        <f t="shared" si="3"/>
        <v xml:space="preserve"> </v>
      </c>
      <c r="AA15" s="233"/>
      <c r="AB15" s="233" t="str">
        <f t="shared" si="0"/>
        <v xml:space="preserve"> </v>
      </c>
      <c r="AC15" s="233"/>
      <c r="AD15" s="233" t="str">
        <f t="shared" si="1"/>
        <v xml:space="preserve"> </v>
      </c>
      <c r="AE15" s="233"/>
      <c r="AF15" s="233" t="str">
        <f t="shared" si="4"/>
        <v xml:space="preserve"> </v>
      </c>
      <c r="AG15" s="234"/>
      <c r="AH15" s="55" t="str">
        <f t="shared" si="2"/>
        <v/>
      </c>
      <c r="AI15" s="44" t="str">
        <f>IF(
  E15="Connues",
  IF(
    ABS(F15 - VLOOKUP(C15,'Valeurs Règlement Campagne'!$A$4:$V$7,12,FALSE))&lt;=2,
    VLOOKUP(C15,'Valeurs Règlement Campagne'!$A$4:$V$7,12,FALSE),
    IF(
      ABS(F15 - VLOOKUP(C15,'Valeurs Règlement Campagne'!$A$4:$V$7,13,FALSE))&lt;=2,
      VLOOKUP(C15,'Valeurs Règlement Campagne'!$A$4:$V$7,13,FALSE),
      IF(
        ABS(F15 - VLOOKUP(C15,'Valeurs Règlement Campagne'!$A$4:$V$7,14,FALSE))&lt;=2,
        VLOOKUP(C15,'Valeurs Règlement Campagne'!$A$4:$V$7,14,FALSE),
        ""
      )
    )
  ),
  ""
)</f>
        <v/>
      </c>
      <c r="AJ15" s="44" t="str">
        <f>IF(
  E15="Connues",
  IF(
    ABS(G15 - VLOOKUP(C15,'Valeurs Règlement Campagne'!$A$4:$V$7,15,FALSE))&lt;=2,
    VLOOKUP(C15,'Valeurs Règlement Campagne'!$A$4:$V$7,15,FALSE),
    IF(
      ABS(G15 - VLOOKUP(C15,'Valeurs Règlement Campagne'!$A$4:$V$7,16,FALSE))&lt;=2,
      VLOOKUP(C15,'Valeurs Règlement Campagne'!$A$4:$V$7,16,FALSE),
      IF(
        ABS(G15 - VLOOKUP(C15,'Valeurs Règlement Campagne'!$A$4:$V$7,17,FALSE))&lt;=2,
        VLOOKUP(C15,'Valeurs Règlement Campagne'!$A$4:$V$7,17,FALSE),
        ""
      )
    )
  ),
  ""
)</f>
        <v/>
      </c>
      <c r="AK15" s="44" t="str">
        <f>IF(
  E15="Connues",
  IF(
    ABS(H15 - VLOOKUP(C15,'Valeurs Règlement Campagne'!$A$4:$V$7,15,FALSE))&lt;=2,
    VLOOKUP(C15,'Valeurs Règlement Campagne'!$A$4:$V$7,15,FALSE),
    IF(
      ABS(H15 - VLOOKUP(C15,'Valeurs Règlement Campagne'!$A$4:$V$7,16,FALSE))&lt;=2,
      VLOOKUP(C15,'Valeurs Règlement Campagne'!$A$4:$V$7,16,FALSE),
      IF(
        ABS(H15 - VLOOKUP(C15,'Valeurs Règlement Campagne'!$A$4:$V$7,17,FALSE))&lt;=2,
        VLOOKUP(C15,'Valeurs Règlement Campagne'!$A$4:$V$7,17,FALSE),
        ""
      )
    )
  ),
  ""
)</f>
        <v/>
      </c>
    </row>
    <row r="16" spans="1:37" ht="20.75" customHeight="1" thickBot="1">
      <c r="A16" s="195">
        <v>11</v>
      </c>
      <c r="B16" s="191"/>
      <c r="C16" s="291"/>
      <c r="D16" s="291"/>
      <c r="E16" s="196"/>
      <c r="F16" s="188"/>
      <c r="G16" s="105"/>
      <c r="H16" s="106"/>
      <c r="I16" s="185"/>
      <c r="J16" s="202"/>
      <c r="L16" s="46" t="str">
        <f>IF($E16=0," ",IF($E16=$D$31,VLOOKUP($C16,'Valeurs Règlement Campagne'!$A$4:$AB$7,14,FALSE),VLOOKUP($C16,'Valeurs Règlement Campagne'!$A$4:$M$7,4,FALSE)))</f>
        <v xml:space="preserve"> </v>
      </c>
      <c r="M16" s="47" t="str">
        <f>IF($E16=0," ",IF($E16=$D$31,VLOOKUP($C16,'Valeurs Règlement Campagne'!$A$4:$AB$7,16,FALSE),VLOOKUP($C16,'Valeurs Règlement Campagne'!$A$4:$AB$7,5,FALSE)))</f>
        <v xml:space="preserve"> </v>
      </c>
      <c r="N16" s="46" t="str">
        <f>IF($E16=0," ",IF($E16=$D$31,VLOOKUP($C16,'Valeurs Règlement Campagne'!$A$4:$AB$7,17,FALSE),VLOOKUP($C16,'Valeurs Règlement Campagne'!$A$4:$AB$7,6,FALSE)))</f>
        <v xml:space="preserve"> </v>
      </c>
      <c r="O16" s="48" t="str">
        <f>IF($E16=0," ",IF($E16=$D$31,VLOOKUP($C16,'Valeurs Règlement Campagne'!$A$4:$AB$7,19,FALSE),VLOOKUP($C16,'Valeurs Règlement Campagne'!$A$4:$AB$7,7,FALSE)))</f>
        <v xml:space="preserve"> </v>
      </c>
      <c r="P16" s="49" t="str">
        <f>IF($E16=0," ",IF($E16=$D$31,VLOOKUP($C16,'Valeurs Règlement Campagne'!$A$4:$AB$7,20,FALSE),VLOOKUP($C16,'Valeurs Règlement Campagne'!$A$4:$AB$7,8,FALSE)))</f>
        <v xml:space="preserve"> </v>
      </c>
      <c r="Q16" s="48" t="str">
        <f>IF($E16=0," ",IF($E16=$D$31,VLOOKUP($C16,'Valeurs Règlement Campagne'!$A$4:$AB$7,22,FALSE),VLOOKUP($C16,'Valeurs Règlement Campagne'!$A$4:$AB$7,9,FALSE)))</f>
        <v xml:space="preserve"> </v>
      </c>
      <c r="R16" s="52" t="str">
        <f>IF($E16=0," ",IF($E16=$D$31,VLOOKUP($C16,'Valeurs Règlement Campagne'!$A$4:$AB$7,25,FALSE),VLOOKUP($C16,'Valeurs Règlement Campagne'!$A$4:$AB$7,11,FALSE)))</f>
        <v xml:space="preserve"> </v>
      </c>
      <c r="S16" s="46" t="str">
        <f>IF($E16=0," ",IF($E16=$D$31,VLOOKUP($C16,'Valeurs Règlement Campagne'!$A$4:$AB$7,26,FALSE),VLOOKUP($C16,'Valeurs Règlement Campagne'!$A$4:$AB$7,12,FALSE)))</f>
        <v xml:space="preserve"> </v>
      </c>
      <c r="T16" s="47" t="str">
        <f>IF($E16=0," ",IF($E16=$D$31,VLOOKUP($C16,'Valeurs Règlement Campagne'!$A$4:$AB$7,28,FALSE),VLOOKUP($C16,'Valeurs Règlement Campagne'!$A$4:$AB$7,13,FALSE)))</f>
        <v xml:space="preserve"> </v>
      </c>
      <c r="U16" s="53" t="str" cm="1">
        <f t="array" ref="U16">IF(C16=0," ",IF(AND(E16="Connues",AH16&lt;&gt;"",COUNTIFS(AH$6:AH$29,AH16,C$6:C$29,C16)&gt;1),"Doublon",IF(AND(E16="Connues",SUMPRODUCT((E$6:E$29="Connues")*(C$6:C$29=C16)*(ROW($6:$29)&lt;&gt;ROW())*(ABS(F$6:F$29-F16)&lt;=2)*((ABS(F$6:F$29-VLOOKUP(C16,'Valeurs Règlement Campagne'!$A$4:$AB$7,14,FALSE))&lt;=2)+(ABS(F$6:F$29-VLOOKUP(C16,'Valeurs Règlement Campagne'!$A$4:$AB$7,15,FALSE))&lt;=2)+(ABS(F$6:F$29-VLOOKUP(C16,'Valeurs Règlement Campagne'!$A$4:$AB$7,16,FALSE))&lt;=2)))&gt;0),"Doublon",IF($C16=0," ",IF(F16=0," ",IF(E16="Inconnues",AND(F16&gt;=L16,F16&lt;=M16),IF(AND('Valeurs Règlement Campagne'!$L$14="OUI",E16="Connues"),AND(F16&gt;=L16-2,F16&lt;=M16+2),OR(F16=L16,F16=L16+5,F16=M16))))))))</f>
        <v xml:space="preserve"> </v>
      </c>
      <c r="V16" s="54" t="str" cm="1">
        <f t="array" ref="V16">IF(C16=0," ",IF(AND(E16="Connues",AH16&lt;&gt;"",COUNTIFS(AH$6:AH$29,AH16,C$6:C$29,C16)&gt;1),"Doublon",IF(AND(E16="Connues",SUMPRODUCT((E$6:E$29="Connues")*(C$6:C$29=C16)*(ROW($6:$29)&lt;&gt;ROW())*(ABS(G$6:G$29-G16)&lt;=2)*((ABS(G$6:G$29-VLOOKUP(C16,'Valeurs Règlement Campagne'!$A$4:$AB$7,17,FALSE))&lt;=2)+(ABS(G$6:G$29-VLOOKUP(C16,'Valeurs Règlement Campagne'!$A$4:$AB$7,18,FALSE))&lt;=2)+(ABS(G$6:G$29-VLOOKUP(C16,'Valeurs Règlement Campagne'!$A$4:$AB$7,19,FALSE))&lt;=2)))&gt;0),"Doublon",IF($C16=0," ",IF(G16=0," ",IF(E16="Inconnues",AND(G16&gt;=N16,G16&lt;=O16),IF(AND('Valeurs Règlement Campagne'!$L$14="OUI",E16="Connues"),AND(G16&gt;=N16-2,G16&lt;=O16+2),OR(G16=N16,G16=N16+5,G16=O16))))))))</f>
        <v xml:space="preserve"> </v>
      </c>
      <c r="W16" s="54" t="str" cm="1">
        <f t="array" ref="W16">IF(C16=0," ",IF(AND(E16="Connues",AE16&lt;&gt;"",COUNTIFS(AE$6:AE$29,AE16,C$6:C$29,C16)&gt;1),"Doublon",IF(AND(E16="Connues",SUMPRODUCT((E$6:E$29="Connues")*(C$6:C$29=C16)*(ROW($6:$29)&lt;&gt;ROW())*(ABS(H$6:H$29-H16)&lt;=2)*((ABS(H$6:H$29-VLOOKUP(C16,'Valeurs Règlement Campagne'!$A$4:$AB$7,20,FALSE))&lt;=2)+(ABS(H$6:H$29-VLOOKUP(C16,'Valeurs Règlement Campagne'!$A$4:$AB$7,21,FALSE))&lt;=2)+(ABS(H$6:H$29-VLOOKUP(C16,'Valeurs Règlement Campagne'!$A$4:$AB$7,22,FALSE))&lt;=2)))&gt;0),"Doublon",IF($C16=0," ",IF(H16=0," ",IF(E16="Inconnues",AND(H16&gt;=P16,H16&lt;=Q16),IF(AND('Valeurs Règlement Campagne'!$L$14="OUI",E16="Connues"),AND(H16&gt;=P16-2,H16&lt;=Q16+2),OR(H16=P16,H16=P16+5,H16=P16))))))))</f>
        <v xml:space="preserve"> </v>
      </c>
      <c r="X16" s="54" t="str" cm="1">
        <f t="array" ref="X16">IF(C16=0," ",IF(AND(E16="Connues",AH16&lt;&gt;"",COUNTIFS(AH$6:AH$29,AH16,C$6:C$29,C16)&gt;1),"Doublon",IF(AND(E16="Connues",SUMPRODUCT((E$6:E$29="Connues")*(C$6:C$29=C16)*(ROW($6:$29)&lt;&gt;ROW())*(ABS(I$6:I$29-I16)&lt;=2)*((ABS(I$6:I$29-VLOOKUP(C16,'Valeurs Règlement Campagne'!$A$4:$AB$7,23,FALSE))&lt;=2)+(ABS(I$6:I$29-VLOOKUP(C16,'Valeurs Règlement Campagne'!$A$4:$AB$7,24,FALSE))&lt;=2)+(ABS(I$6:I$29-VLOOKUP(C16,'Valeurs Règlement Campagne'!$A$4:$AB$7,25,FALSE))&lt;=2)))&gt;0),"Doublon",IF($C16=0," ",IF(I16=0," ",IF(E16="Inconnues",AND(I16&gt;=P16,I16&lt;=R16),IF(AND('Valeurs Règlement Campagne'!$L$14="OUI",E16="Connues"),AND(I16&gt;=P16-2,I16&lt;=R16+2),OR(I16=P16,I16=P16+5,I16=P16))))))))</f>
        <v xml:space="preserve"> </v>
      </c>
      <c r="Y16" s="218" t="str" cm="1">
        <f t="array" ref="Y16">IF(C16=0," ",IF(AND(E16="Connues",AH16&lt;&gt;"",COUNTIFS(AH$6:AH$29,AH16,C$6:C$29,C16)&gt;1),"Doublon",IF(AND(E16="Connues",SUMPRODUCT((E$6:E$29="Connues")*(C$6:C$29=C16)*(ROW($6:$29)&lt;&gt;ROW())*(ABS(J$6:J$29-J16)&lt;=2)*((ABS(J$6:J$29-VLOOKUP(C16,'Valeurs Règlement Campagne'!$A$4:$AB$7,26,FALSE))&lt;=2)+(ABS(J$6:J$29-VLOOKUP(C16,'Valeurs Règlement Campagne'!$A$4:$AB$7,27,FALSE))&lt;=2)+(ABS(J$6:J$29-VLOOKUP(C16,'Valeurs Règlement Campagne'!$A$4:$AB$7,28,FALSE))&lt;=2)))&gt;0),"Doublon",IF($C16=0," ",IF(J16=0," ",IF(E16="Inconnues",AND(J16&gt;=S16,J16&lt;=T16),IF(AND('Valeurs Règlement Campagne'!$L$14="OUI",E16="Connues"),AND(J16&gt;=S16-2,J16&lt;=T16+2),OR(J16=S16,J16=S16+5,J16=S16))))))))</f>
        <v xml:space="preserve"> </v>
      </c>
      <c r="Z16" s="235" t="str">
        <f t="shared" si="3"/>
        <v xml:space="preserve"> </v>
      </c>
      <c r="AA16" s="233"/>
      <c r="AB16" s="233" t="str">
        <f t="shared" si="0"/>
        <v xml:space="preserve"> </v>
      </c>
      <c r="AC16" s="233"/>
      <c r="AD16" s="233" t="str">
        <f t="shared" si="1"/>
        <v xml:space="preserve"> </v>
      </c>
      <c r="AE16" s="233"/>
      <c r="AF16" s="233" t="str">
        <f t="shared" si="4"/>
        <v xml:space="preserve"> </v>
      </c>
      <c r="AG16" s="234"/>
      <c r="AH16" s="55" t="str">
        <f t="shared" si="2"/>
        <v/>
      </c>
      <c r="AI16" s="44" t="str">
        <f>IF(
  E16="Connues",
  IF(
    ABS(F16 - VLOOKUP(C16,'Valeurs Règlement Campagne'!$A$4:$V$7,12,FALSE))&lt;=2,
    VLOOKUP(C16,'Valeurs Règlement Campagne'!$A$4:$V$7,12,FALSE),
    IF(
      ABS(F16 - VLOOKUP(C16,'Valeurs Règlement Campagne'!$A$4:$V$7,13,FALSE))&lt;=2,
      VLOOKUP(C16,'Valeurs Règlement Campagne'!$A$4:$V$7,13,FALSE),
      IF(
        ABS(F16 - VLOOKUP(C16,'Valeurs Règlement Campagne'!$A$4:$V$7,14,FALSE))&lt;=2,
        VLOOKUP(C16,'Valeurs Règlement Campagne'!$A$4:$V$7,14,FALSE),
        ""
      )
    )
  ),
  ""
)</f>
        <v/>
      </c>
      <c r="AJ16" s="44" t="str">
        <f>IF(
  E16="Connues",
  IF(
    ABS(G16 - VLOOKUP(C16,'Valeurs Règlement Campagne'!$A$4:$V$7,15,FALSE))&lt;=2,
    VLOOKUP(C16,'Valeurs Règlement Campagne'!$A$4:$V$7,15,FALSE),
    IF(
      ABS(G16 - VLOOKUP(C16,'Valeurs Règlement Campagne'!$A$4:$V$7,16,FALSE))&lt;=2,
      VLOOKUP(C16,'Valeurs Règlement Campagne'!$A$4:$V$7,16,FALSE),
      IF(
        ABS(G16 - VLOOKUP(C16,'Valeurs Règlement Campagne'!$A$4:$V$7,17,FALSE))&lt;=2,
        VLOOKUP(C16,'Valeurs Règlement Campagne'!$A$4:$V$7,17,FALSE),
        ""
      )
    )
  ),
  ""
)</f>
        <v/>
      </c>
      <c r="AK16" s="44" t="str">
        <f>IF(
  E16="Connues",
  IF(
    ABS(H16 - VLOOKUP(C16,'Valeurs Règlement Campagne'!$A$4:$V$7,15,FALSE))&lt;=2,
    VLOOKUP(C16,'Valeurs Règlement Campagne'!$A$4:$V$7,15,FALSE),
    IF(
      ABS(H16 - VLOOKUP(C16,'Valeurs Règlement Campagne'!$A$4:$V$7,16,FALSE))&lt;=2,
      VLOOKUP(C16,'Valeurs Règlement Campagne'!$A$4:$V$7,16,FALSE),
      IF(
        ABS(H16 - VLOOKUP(C16,'Valeurs Règlement Campagne'!$A$4:$V$7,17,FALSE))&lt;=2,
        VLOOKUP(C16,'Valeurs Règlement Campagne'!$A$4:$V$7,17,FALSE),
        ""
      )
    )
  ),
  ""
)</f>
        <v/>
      </c>
    </row>
    <row r="17" spans="1:218" ht="20.75" customHeight="1" thickBot="1">
      <c r="A17" s="195">
        <v>12</v>
      </c>
      <c r="B17" s="191"/>
      <c r="C17" s="291"/>
      <c r="D17" s="291"/>
      <c r="E17" s="196"/>
      <c r="F17" s="188"/>
      <c r="G17" s="105"/>
      <c r="H17" s="106"/>
      <c r="I17" s="185"/>
      <c r="J17" s="202"/>
      <c r="L17" s="46" t="str">
        <f>IF($E17=0," ",IF($E17=$D$31,VLOOKUP($C17,'Valeurs Règlement Campagne'!$A$4:$AB$7,14,FALSE),VLOOKUP($C17,'Valeurs Règlement Campagne'!$A$4:$M$7,4,FALSE)))</f>
        <v xml:space="preserve"> </v>
      </c>
      <c r="M17" s="47" t="str">
        <f>IF($E17=0," ",IF($E17=$D$31,VLOOKUP($C17,'Valeurs Règlement Campagne'!$A$4:$AB$7,16,FALSE),VLOOKUP($C17,'Valeurs Règlement Campagne'!$A$4:$AB$7,5,FALSE)))</f>
        <v xml:space="preserve"> </v>
      </c>
      <c r="N17" s="46" t="str">
        <f>IF($E17=0," ",IF($E17=$D$31,VLOOKUP($C17,'Valeurs Règlement Campagne'!$A$4:$AB$7,17,FALSE),VLOOKUP($C17,'Valeurs Règlement Campagne'!$A$4:$AB$7,6,FALSE)))</f>
        <v xml:space="preserve"> </v>
      </c>
      <c r="O17" s="48" t="str">
        <f>IF($E17=0," ",IF($E17=$D$31,VLOOKUP($C17,'Valeurs Règlement Campagne'!$A$4:$AB$7,19,FALSE),VLOOKUP($C17,'Valeurs Règlement Campagne'!$A$4:$AB$7,7,FALSE)))</f>
        <v xml:space="preserve"> </v>
      </c>
      <c r="P17" s="49" t="str">
        <f>IF($E17=0," ",IF($E17=$D$31,VLOOKUP($C17,'Valeurs Règlement Campagne'!$A$4:$AB$7,20,FALSE),VLOOKUP($C17,'Valeurs Règlement Campagne'!$A$4:$AB$7,8,FALSE)))</f>
        <v xml:space="preserve"> </v>
      </c>
      <c r="Q17" s="48" t="str">
        <f>IF($E17=0," ",IF($E17=$D$31,VLOOKUP($C17,'Valeurs Règlement Campagne'!$A$4:$AB$7,22,FALSE),VLOOKUP($C17,'Valeurs Règlement Campagne'!$A$4:$AB$7,9,FALSE)))</f>
        <v xml:space="preserve"> </v>
      </c>
      <c r="R17" s="52" t="str">
        <f>IF($E17=0," ",IF($E17=$D$31,VLOOKUP($C17,'Valeurs Règlement Campagne'!$A$4:$AB$7,25,FALSE),VLOOKUP($C17,'Valeurs Règlement Campagne'!$A$4:$AB$7,11,FALSE)))</f>
        <v xml:space="preserve"> </v>
      </c>
      <c r="S17" s="46" t="str">
        <f>IF($E17=0," ",IF($E17=$D$31,VLOOKUP($C17,'Valeurs Règlement Campagne'!$A$4:$AB$7,26,FALSE),VLOOKUP($C17,'Valeurs Règlement Campagne'!$A$4:$AB$7,12,FALSE)))</f>
        <v xml:space="preserve"> </v>
      </c>
      <c r="T17" s="47" t="str">
        <f>IF($E17=0," ",IF($E17=$D$31,VLOOKUP($C17,'Valeurs Règlement Campagne'!$A$4:$AB$7,28,FALSE),VLOOKUP($C17,'Valeurs Règlement Campagne'!$A$4:$AB$7,13,FALSE)))</f>
        <v xml:space="preserve"> </v>
      </c>
      <c r="U17" s="53" t="str" cm="1">
        <f t="array" ref="U17">IF(C17=0," ",IF(AND(E17="Connues",AH17&lt;&gt;"",COUNTIFS(AH$6:AH$29,AH17,C$6:C$29,C17)&gt;1),"Doublon",IF(AND(E17="Connues",SUMPRODUCT((E$6:E$29="Connues")*(C$6:C$29=C17)*(ROW($6:$29)&lt;&gt;ROW())*(ABS(F$6:F$29-F17)&lt;=2)*((ABS(F$6:F$29-VLOOKUP(C17,'Valeurs Règlement Campagne'!$A$4:$AB$7,14,FALSE))&lt;=2)+(ABS(F$6:F$29-VLOOKUP(C17,'Valeurs Règlement Campagne'!$A$4:$AB$7,15,FALSE))&lt;=2)+(ABS(F$6:F$29-VLOOKUP(C17,'Valeurs Règlement Campagne'!$A$4:$AB$7,16,FALSE))&lt;=2)))&gt;0),"Doublon",IF($C17=0," ",IF(F17=0," ",IF(E17="Inconnues",AND(F17&gt;=L17,F17&lt;=M17),IF(AND('Valeurs Règlement Campagne'!$L$14="OUI",E17="Connues"),AND(F17&gt;=L17-2,F17&lt;=M17+2),OR(F17=L17,F17=L17+5,F17=M17))))))))</f>
        <v xml:space="preserve"> </v>
      </c>
      <c r="V17" s="54" t="str" cm="1">
        <f t="array" ref="V17">IF(C17=0," ",IF(AND(E17="Connues",AH17&lt;&gt;"",COUNTIFS(AH$6:AH$29,AH17,C$6:C$29,C17)&gt;1),"Doublon",IF(AND(E17="Connues",SUMPRODUCT((E$6:E$29="Connues")*(C$6:C$29=C17)*(ROW($6:$29)&lt;&gt;ROW())*(ABS(G$6:G$29-G17)&lt;=2)*((ABS(G$6:G$29-VLOOKUP(C17,'Valeurs Règlement Campagne'!$A$4:$AB$7,17,FALSE))&lt;=2)+(ABS(G$6:G$29-VLOOKUP(C17,'Valeurs Règlement Campagne'!$A$4:$AB$7,18,FALSE))&lt;=2)+(ABS(G$6:G$29-VLOOKUP(C17,'Valeurs Règlement Campagne'!$A$4:$AB$7,19,FALSE))&lt;=2)))&gt;0),"Doublon",IF($C17=0," ",IF(G17=0," ",IF(E17="Inconnues",AND(G17&gt;=N17,G17&lt;=O17),IF(AND('Valeurs Règlement Campagne'!$L$14="OUI",E17="Connues"),AND(G17&gt;=N17-2,G17&lt;=O17+2),OR(G17=N17,G17=N17+5,G17=O17))))))))</f>
        <v xml:space="preserve"> </v>
      </c>
      <c r="W17" s="54" t="str" cm="1">
        <f t="array" ref="W17">IF(C17=0," ",IF(AND(E17="Connues",AE17&lt;&gt;"",COUNTIFS(AE$6:AE$29,AE17,C$6:C$29,C17)&gt;1),"Doublon",IF(AND(E17="Connues",SUMPRODUCT((E$6:E$29="Connues")*(C$6:C$29=C17)*(ROW($6:$29)&lt;&gt;ROW())*(ABS(H$6:H$29-H17)&lt;=2)*((ABS(H$6:H$29-VLOOKUP(C17,'Valeurs Règlement Campagne'!$A$4:$AB$7,20,FALSE))&lt;=2)+(ABS(H$6:H$29-VLOOKUP(C17,'Valeurs Règlement Campagne'!$A$4:$AB$7,21,FALSE))&lt;=2)+(ABS(H$6:H$29-VLOOKUP(C17,'Valeurs Règlement Campagne'!$A$4:$AB$7,22,FALSE))&lt;=2)))&gt;0),"Doublon",IF($C17=0," ",IF(H17=0," ",IF(E17="Inconnues",AND(H17&gt;=P17,H17&lt;=Q17),IF(AND('Valeurs Règlement Campagne'!$L$14="OUI",E17="Connues"),AND(H17&gt;=P17-2,H17&lt;=Q17+2),OR(H17=P17,H17=P17+5,H17=P17))))))))</f>
        <v xml:space="preserve"> </v>
      </c>
      <c r="X17" s="54" t="str" cm="1">
        <f t="array" ref="X17">IF(C17=0," ",IF(AND(E17="Connues",AH17&lt;&gt;"",COUNTIFS(AH$6:AH$29,AH17,C$6:C$29,C17)&gt;1),"Doublon",IF(AND(E17="Connues",SUMPRODUCT((E$6:E$29="Connues")*(C$6:C$29=C17)*(ROW($6:$29)&lt;&gt;ROW())*(ABS(I$6:I$29-I17)&lt;=2)*((ABS(I$6:I$29-VLOOKUP(C17,'Valeurs Règlement Campagne'!$A$4:$AB$7,23,FALSE))&lt;=2)+(ABS(I$6:I$29-VLOOKUP(C17,'Valeurs Règlement Campagne'!$A$4:$AB$7,24,FALSE))&lt;=2)+(ABS(I$6:I$29-VLOOKUP(C17,'Valeurs Règlement Campagne'!$A$4:$AB$7,25,FALSE))&lt;=2)))&gt;0),"Doublon",IF($C17=0," ",IF(I17=0," ",IF(E17="Inconnues",AND(I17&gt;=P17,I17&lt;=R17),IF(AND('Valeurs Règlement Campagne'!$L$14="OUI",E17="Connues"),AND(I17&gt;=P17-2,I17&lt;=R17+2),OR(I17=P17,I17=P17+5,I17=P17))))))))</f>
        <v xml:space="preserve"> </v>
      </c>
      <c r="Y17" s="218" t="str" cm="1">
        <f t="array" ref="Y17">IF(C17=0," ",IF(AND(E17="Connues",AH17&lt;&gt;"",COUNTIFS(AH$6:AH$29,AH17,C$6:C$29,C17)&gt;1),"Doublon",IF(AND(E17="Connues",SUMPRODUCT((E$6:E$29="Connues")*(C$6:C$29=C17)*(ROW($6:$29)&lt;&gt;ROW())*(ABS(J$6:J$29-J17)&lt;=2)*((ABS(J$6:J$29-VLOOKUP(C17,'Valeurs Règlement Campagne'!$A$4:$AB$7,26,FALSE))&lt;=2)+(ABS(J$6:J$29-VLOOKUP(C17,'Valeurs Règlement Campagne'!$A$4:$AB$7,27,FALSE))&lt;=2)+(ABS(J$6:J$29-VLOOKUP(C17,'Valeurs Règlement Campagne'!$A$4:$AB$7,28,FALSE))&lt;=2)))&gt;0),"Doublon",IF($C17=0," ",IF(J17=0," ",IF(E17="Inconnues",AND(J17&gt;=S17,J17&lt;=T17),IF(AND('Valeurs Règlement Campagne'!$L$14="OUI",E17="Connues"),AND(J17&gt;=S17-2,J17&lt;=T17+2),OR(J17=S17,J17=S17+5,J17=S17))))))))</f>
        <v xml:space="preserve"> </v>
      </c>
      <c r="Z17" s="235" t="str">
        <f t="shared" si="3"/>
        <v xml:space="preserve"> </v>
      </c>
      <c r="AA17" s="233"/>
      <c r="AB17" s="233" t="str">
        <f t="shared" si="0"/>
        <v xml:space="preserve"> </v>
      </c>
      <c r="AC17" s="233"/>
      <c r="AD17" s="233" t="str">
        <f t="shared" si="1"/>
        <v xml:space="preserve"> </v>
      </c>
      <c r="AE17" s="233"/>
      <c r="AF17" s="233" t="str">
        <f t="shared" si="4"/>
        <v xml:space="preserve"> </v>
      </c>
      <c r="AG17" s="234"/>
      <c r="AH17" s="55" t="str">
        <f t="shared" si="2"/>
        <v/>
      </c>
      <c r="AI17" s="44" t="str">
        <f>IF(
  E17="Connues",
  IF(
    ABS(F17 - VLOOKUP(C17,'Valeurs Règlement Campagne'!$A$4:$V$7,12,FALSE))&lt;=2,
    VLOOKUP(C17,'Valeurs Règlement Campagne'!$A$4:$V$7,12,FALSE),
    IF(
      ABS(F17 - VLOOKUP(C17,'Valeurs Règlement Campagne'!$A$4:$V$7,13,FALSE))&lt;=2,
      VLOOKUP(C17,'Valeurs Règlement Campagne'!$A$4:$V$7,13,FALSE),
      IF(
        ABS(F17 - VLOOKUP(C17,'Valeurs Règlement Campagne'!$A$4:$V$7,14,FALSE))&lt;=2,
        VLOOKUP(C17,'Valeurs Règlement Campagne'!$A$4:$V$7,14,FALSE),
        ""
      )
    )
  ),
  ""
)</f>
        <v/>
      </c>
      <c r="AJ17" s="44" t="str">
        <f>IF(
  E17="Connues",
  IF(
    ABS(G17 - VLOOKUP(C17,'Valeurs Règlement Campagne'!$A$4:$V$7,15,FALSE))&lt;=2,
    VLOOKUP(C17,'Valeurs Règlement Campagne'!$A$4:$V$7,15,FALSE),
    IF(
      ABS(G17 - VLOOKUP(C17,'Valeurs Règlement Campagne'!$A$4:$V$7,16,FALSE))&lt;=2,
      VLOOKUP(C17,'Valeurs Règlement Campagne'!$A$4:$V$7,16,FALSE),
      IF(
        ABS(G17 - VLOOKUP(C17,'Valeurs Règlement Campagne'!$A$4:$V$7,17,FALSE))&lt;=2,
        VLOOKUP(C17,'Valeurs Règlement Campagne'!$A$4:$V$7,17,FALSE),
        ""
      )
    )
  ),
  ""
)</f>
        <v/>
      </c>
      <c r="AK17" s="44" t="str">
        <f>IF(
  E17="Connues",
  IF(
    ABS(H17 - VLOOKUP(C17,'Valeurs Règlement Campagne'!$A$4:$V$7,15,FALSE))&lt;=2,
    VLOOKUP(C17,'Valeurs Règlement Campagne'!$A$4:$V$7,15,FALSE),
    IF(
      ABS(H17 - VLOOKUP(C17,'Valeurs Règlement Campagne'!$A$4:$V$7,16,FALSE))&lt;=2,
      VLOOKUP(C17,'Valeurs Règlement Campagne'!$A$4:$V$7,16,FALSE),
      IF(
        ABS(H17 - VLOOKUP(C17,'Valeurs Règlement Campagne'!$A$4:$V$7,17,FALSE))&lt;=2,
        VLOOKUP(C17,'Valeurs Règlement Campagne'!$A$4:$V$7,17,FALSE),
        ""
      )
    )
  ),
  ""
)</f>
        <v/>
      </c>
    </row>
    <row r="18" spans="1:218" ht="20.75" customHeight="1" thickBot="1">
      <c r="A18" s="195">
        <v>13</v>
      </c>
      <c r="B18" s="191"/>
      <c r="C18" s="291"/>
      <c r="D18" s="291"/>
      <c r="E18" s="196"/>
      <c r="F18" s="189"/>
      <c r="G18" s="107"/>
      <c r="H18" s="108"/>
      <c r="I18" s="185"/>
      <c r="J18" s="202"/>
      <c r="L18" s="46" t="str">
        <f>IF($E18=0," ",IF($E18=$D$31,VLOOKUP($C18,'Valeurs Règlement Campagne'!$A$4:$AB$7,14,FALSE),VLOOKUP($C18,'Valeurs Règlement Campagne'!$A$4:$M$7,4,FALSE)))</f>
        <v xml:space="preserve"> </v>
      </c>
      <c r="M18" s="47" t="str">
        <f>IF($E18=0," ",IF($E18=$D$31,VLOOKUP($C18,'Valeurs Règlement Campagne'!$A$4:$AB$7,16,FALSE),VLOOKUP($C18,'Valeurs Règlement Campagne'!$A$4:$AB$7,5,FALSE)))</f>
        <v xml:space="preserve"> </v>
      </c>
      <c r="N18" s="46" t="str">
        <f>IF($E18=0," ",IF($E18=$D$31,VLOOKUP($C18,'Valeurs Règlement Campagne'!$A$4:$AB$7,17,FALSE),VLOOKUP($C18,'Valeurs Règlement Campagne'!$A$4:$AB$7,6,FALSE)))</f>
        <v xml:space="preserve"> </v>
      </c>
      <c r="O18" s="48" t="str">
        <f>IF($E18=0," ",IF($E18=$D$31,VLOOKUP($C18,'Valeurs Règlement Campagne'!$A$4:$AB$7,19,FALSE),VLOOKUP($C18,'Valeurs Règlement Campagne'!$A$4:$AB$7,7,FALSE)))</f>
        <v xml:space="preserve"> </v>
      </c>
      <c r="P18" s="49" t="str">
        <f>IF($E18=0," ",IF($E18=$D$31,VLOOKUP($C18,'Valeurs Règlement Campagne'!$A$4:$AB$7,20,FALSE),VLOOKUP($C18,'Valeurs Règlement Campagne'!$A$4:$AB$7,8,FALSE)))</f>
        <v xml:space="preserve"> </v>
      </c>
      <c r="Q18" s="48" t="str">
        <f>IF($E18=0," ",IF($E18=$D$31,VLOOKUP($C18,'Valeurs Règlement Campagne'!$A$4:$AB$7,22,FALSE),VLOOKUP($C18,'Valeurs Règlement Campagne'!$A$4:$AB$7,9,FALSE)))</f>
        <v xml:space="preserve"> </v>
      </c>
      <c r="R18" s="52" t="str">
        <f>IF($E18=0," ",IF($E18=$D$31,VLOOKUP($C18,'Valeurs Règlement Campagne'!$A$4:$AB$7,25,FALSE),VLOOKUP($C18,'Valeurs Règlement Campagne'!$A$4:$AB$7,11,FALSE)))</f>
        <v xml:space="preserve"> </v>
      </c>
      <c r="S18" s="46" t="str">
        <f>IF($E18=0," ",IF($E18=$D$31,VLOOKUP($C18,'Valeurs Règlement Campagne'!$A$4:$AB$7,26,FALSE),VLOOKUP($C18,'Valeurs Règlement Campagne'!$A$4:$AB$7,12,FALSE)))</f>
        <v xml:space="preserve"> </v>
      </c>
      <c r="T18" s="47" t="str">
        <f>IF($E18=0," ",IF($E18=$D$31,VLOOKUP($C18,'Valeurs Règlement Campagne'!$A$4:$AB$7,28,FALSE),VLOOKUP($C18,'Valeurs Règlement Campagne'!$A$4:$AB$7,13,FALSE)))</f>
        <v xml:space="preserve"> </v>
      </c>
      <c r="U18" s="53" t="str" cm="1">
        <f t="array" ref="U18">IF(C18=0," ",IF(AND(E18="Connues",AH18&lt;&gt;"",COUNTIFS(AH$6:AH$29,AH18,C$6:C$29,C18)&gt;1),"Doublon",IF(AND(E18="Connues",SUMPRODUCT((E$6:E$29="Connues")*(C$6:C$29=C18)*(ROW($6:$29)&lt;&gt;ROW())*(ABS(F$6:F$29-F18)&lt;=2)*((ABS(F$6:F$29-VLOOKUP(C18,'Valeurs Règlement Campagne'!$A$4:$AB$7,14,FALSE))&lt;=2)+(ABS(F$6:F$29-VLOOKUP(C18,'Valeurs Règlement Campagne'!$A$4:$AB$7,15,FALSE))&lt;=2)+(ABS(F$6:F$29-VLOOKUP(C18,'Valeurs Règlement Campagne'!$A$4:$AB$7,16,FALSE))&lt;=2)))&gt;0),"Doublon",IF($C18=0," ",IF(F18=0," ",IF(E18="Inconnues",AND(F18&gt;=L18,F18&lt;=M18),IF(AND('Valeurs Règlement Campagne'!$L$14="OUI",E18="Connues"),AND(F18&gt;=L18-2,F18&lt;=M18+2),OR(F18=L18,F18=L18+5,F18=M18))))))))</f>
        <v xml:space="preserve"> </v>
      </c>
      <c r="V18" s="54" t="str" cm="1">
        <f t="array" ref="V18">IF(C18=0," ",IF(AND(E18="Connues",AH18&lt;&gt;"",COUNTIFS(AH$6:AH$29,AH18,C$6:C$29,C18)&gt;1),"Doublon",IF(AND(E18="Connues",SUMPRODUCT((E$6:E$29="Connues")*(C$6:C$29=C18)*(ROW($6:$29)&lt;&gt;ROW())*(ABS(G$6:G$29-G18)&lt;=2)*((ABS(G$6:G$29-VLOOKUP(C18,'Valeurs Règlement Campagne'!$A$4:$AB$7,17,FALSE))&lt;=2)+(ABS(G$6:G$29-VLOOKUP(C18,'Valeurs Règlement Campagne'!$A$4:$AB$7,18,FALSE))&lt;=2)+(ABS(G$6:G$29-VLOOKUP(C18,'Valeurs Règlement Campagne'!$A$4:$AB$7,19,FALSE))&lt;=2)))&gt;0),"Doublon",IF($C18=0," ",IF(G18=0," ",IF(E18="Inconnues",AND(G18&gt;=N18,G18&lt;=O18),IF(AND('Valeurs Règlement Campagne'!$L$14="OUI",E18="Connues"),AND(G18&gt;=N18-2,G18&lt;=O18+2),OR(G18=N18,G18=N18+5,G18=O18))))))))</f>
        <v xml:space="preserve"> </v>
      </c>
      <c r="W18" s="54" t="str" cm="1">
        <f t="array" ref="W18">IF(C18=0," ",IF(AND(E18="Connues",AE18&lt;&gt;"",COUNTIFS(AE$6:AE$29,AE18,C$6:C$29,C18)&gt;1),"Doublon",IF(AND(E18="Connues",SUMPRODUCT((E$6:E$29="Connues")*(C$6:C$29=C18)*(ROW($6:$29)&lt;&gt;ROW())*(ABS(H$6:H$29-H18)&lt;=2)*((ABS(H$6:H$29-VLOOKUP(C18,'Valeurs Règlement Campagne'!$A$4:$AB$7,20,FALSE))&lt;=2)+(ABS(H$6:H$29-VLOOKUP(C18,'Valeurs Règlement Campagne'!$A$4:$AB$7,21,FALSE))&lt;=2)+(ABS(H$6:H$29-VLOOKUP(C18,'Valeurs Règlement Campagne'!$A$4:$AB$7,22,FALSE))&lt;=2)))&gt;0),"Doublon",IF($C18=0," ",IF(H18=0," ",IF(E18="Inconnues",AND(H18&gt;=P18,H18&lt;=Q18),IF(AND('Valeurs Règlement Campagne'!$L$14="OUI",E18="Connues"),AND(H18&gt;=P18-2,H18&lt;=Q18+2),OR(H18=P18,H18=P18+5,H18=P18))))))))</f>
        <v xml:space="preserve"> </v>
      </c>
      <c r="X18" s="54" t="str" cm="1">
        <f t="array" ref="X18">IF(C18=0," ",IF(AND(E18="Connues",AH18&lt;&gt;"",COUNTIFS(AH$6:AH$29,AH18,C$6:C$29,C18)&gt;1),"Doublon",IF(AND(E18="Connues",SUMPRODUCT((E$6:E$29="Connues")*(C$6:C$29=C18)*(ROW($6:$29)&lt;&gt;ROW())*(ABS(I$6:I$29-I18)&lt;=2)*((ABS(I$6:I$29-VLOOKUP(C18,'Valeurs Règlement Campagne'!$A$4:$AB$7,23,FALSE))&lt;=2)+(ABS(I$6:I$29-VLOOKUP(C18,'Valeurs Règlement Campagne'!$A$4:$AB$7,24,FALSE))&lt;=2)+(ABS(I$6:I$29-VLOOKUP(C18,'Valeurs Règlement Campagne'!$A$4:$AB$7,25,FALSE))&lt;=2)))&gt;0),"Doublon",IF($C18=0," ",IF(I18=0," ",IF(E18="Inconnues",AND(I18&gt;=P18,I18&lt;=R18),IF(AND('Valeurs Règlement Campagne'!$L$14="OUI",E18="Connues"),AND(I18&gt;=P18-2,I18&lt;=R18+2),OR(I18=P18,I18=P18+5,I18=P18))))))))</f>
        <v xml:space="preserve"> </v>
      </c>
      <c r="Y18" s="218" t="str" cm="1">
        <f t="array" ref="Y18">IF(C18=0," ",IF(AND(E18="Connues",AH18&lt;&gt;"",COUNTIFS(AH$6:AH$29,AH18,C$6:C$29,C18)&gt;1),"Doublon",IF(AND(E18="Connues",SUMPRODUCT((E$6:E$29="Connues")*(C$6:C$29=C18)*(ROW($6:$29)&lt;&gt;ROW())*(ABS(J$6:J$29-J18)&lt;=2)*((ABS(J$6:J$29-VLOOKUP(C18,'Valeurs Règlement Campagne'!$A$4:$AB$7,26,FALSE))&lt;=2)+(ABS(J$6:J$29-VLOOKUP(C18,'Valeurs Règlement Campagne'!$A$4:$AB$7,27,FALSE))&lt;=2)+(ABS(J$6:J$29-VLOOKUP(C18,'Valeurs Règlement Campagne'!$A$4:$AB$7,28,FALSE))&lt;=2)))&gt;0),"Doublon",IF($C18=0," ",IF(J18=0," ",IF(E18="Inconnues",AND(J18&gt;=S18,J18&lt;=T18),IF(AND('Valeurs Règlement Campagne'!$L$14="OUI",E18="Connues"),AND(J18&gt;=S18-2,J18&lt;=T18+2),OR(J18=S18,J18=S18+5,J18=S18))))))))</f>
        <v xml:space="preserve"> </v>
      </c>
      <c r="Z18" s="235" t="str">
        <f t="shared" si="3"/>
        <v xml:space="preserve"> </v>
      </c>
      <c r="AA18" s="233"/>
      <c r="AB18" s="233" t="str">
        <f t="shared" si="0"/>
        <v xml:space="preserve"> </v>
      </c>
      <c r="AC18" s="233"/>
      <c r="AD18" s="233" t="str">
        <f t="shared" si="1"/>
        <v xml:space="preserve"> </v>
      </c>
      <c r="AE18" s="233"/>
      <c r="AF18" s="233" t="str">
        <f t="shared" si="4"/>
        <v xml:space="preserve"> </v>
      </c>
      <c r="AG18" s="234"/>
      <c r="AH18" s="55" t="str">
        <f t="shared" si="2"/>
        <v/>
      </c>
      <c r="AI18" s="44" t="str">
        <f>IF(
  E18="Connues",
  IF(
    ABS(F18 - VLOOKUP(C18,'Valeurs Règlement Campagne'!$A$4:$V$7,12,FALSE))&lt;=2,
    VLOOKUP(C18,'Valeurs Règlement Campagne'!$A$4:$V$7,12,FALSE),
    IF(
      ABS(F18 - VLOOKUP(C18,'Valeurs Règlement Campagne'!$A$4:$V$7,13,FALSE))&lt;=2,
      VLOOKUP(C18,'Valeurs Règlement Campagne'!$A$4:$V$7,13,FALSE),
      IF(
        ABS(F18 - VLOOKUP(C18,'Valeurs Règlement Campagne'!$A$4:$V$7,14,FALSE))&lt;=2,
        VLOOKUP(C18,'Valeurs Règlement Campagne'!$A$4:$V$7,14,FALSE),
        ""
      )
    )
  ),
  ""
)</f>
        <v/>
      </c>
      <c r="AJ18" s="44" t="str">
        <f>IF(
  E18="Connues",
  IF(
    ABS(G18 - VLOOKUP(C18,'Valeurs Règlement Campagne'!$A$4:$V$7,15,FALSE))&lt;=2,
    VLOOKUP(C18,'Valeurs Règlement Campagne'!$A$4:$V$7,15,FALSE),
    IF(
      ABS(G18 - VLOOKUP(C18,'Valeurs Règlement Campagne'!$A$4:$V$7,16,FALSE))&lt;=2,
      VLOOKUP(C18,'Valeurs Règlement Campagne'!$A$4:$V$7,16,FALSE),
      IF(
        ABS(G18 - VLOOKUP(C18,'Valeurs Règlement Campagne'!$A$4:$V$7,17,FALSE))&lt;=2,
        VLOOKUP(C18,'Valeurs Règlement Campagne'!$A$4:$V$7,17,FALSE),
        ""
      )
    )
  ),
  ""
)</f>
        <v/>
      </c>
      <c r="AK18" s="44" t="str">
        <f>IF(
  E18="Connues",
  IF(
    ABS(H18 - VLOOKUP(C18,'Valeurs Règlement Campagne'!$A$4:$V$7,15,FALSE))&lt;=2,
    VLOOKUP(C18,'Valeurs Règlement Campagne'!$A$4:$V$7,15,FALSE),
    IF(
      ABS(H18 - VLOOKUP(C18,'Valeurs Règlement Campagne'!$A$4:$V$7,16,FALSE))&lt;=2,
      VLOOKUP(C18,'Valeurs Règlement Campagne'!$A$4:$V$7,16,FALSE),
      IF(
        ABS(H18 - VLOOKUP(C18,'Valeurs Règlement Campagne'!$A$4:$V$7,17,FALSE))&lt;=2,
        VLOOKUP(C18,'Valeurs Règlement Campagne'!$A$4:$V$7,17,FALSE),
        ""
      )
    )
  ),
  ""
)</f>
        <v/>
      </c>
    </row>
    <row r="19" spans="1:218" ht="20.75" customHeight="1" thickBot="1">
      <c r="A19" s="195">
        <v>14</v>
      </c>
      <c r="B19" s="191"/>
      <c r="C19" s="291"/>
      <c r="D19" s="291"/>
      <c r="E19" s="196"/>
      <c r="F19" s="188"/>
      <c r="G19" s="105"/>
      <c r="H19" s="106"/>
      <c r="I19" s="185"/>
      <c r="J19" s="202"/>
      <c r="L19" s="46" t="str">
        <f>IF($E19=0," ",IF($E19=$D$31,VLOOKUP($C19,'Valeurs Règlement Campagne'!$A$4:$AB$7,14,FALSE),VLOOKUP($C19,'Valeurs Règlement Campagne'!$A$4:$M$7,4,FALSE)))</f>
        <v xml:space="preserve"> </v>
      </c>
      <c r="M19" s="47" t="str">
        <f>IF($E19=0," ",IF($E19=$D$31,VLOOKUP($C19,'Valeurs Règlement Campagne'!$A$4:$AB$7,16,FALSE),VLOOKUP($C19,'Valeurs Règlement Campagne'!$A$4:$AB$7,5,FALSE)))</f>
        <v xml:space="preserve"> </v>
      </c>
      <c r="N19" s="46" t="str">
        <f>IF($E19=0," ",IF($E19=$D$31,VLOOKUP($C19,'Valeurs Règlement Campagne'!$A$4:$AB$7,17,FALSE),VLOOKUP($C19,'Valeurs Règlement Campagne'!$A$4:$AB$7,6,FALSE)))</f>
        <v xml:space="preserve"> </v>
      </c>
      <c r="O19" s="48" t="str">
        <f>IF($E19=0," ",IF($E19=$D$31,VLOOKUP($C19,'Valeurs Règlement Campagne'!$A$4:$AB$7,19,FALSE),VLOOKUP($C19,'Valeurs Règlement Campagne'!$A$4:$AB$7,7,FALSE)))</f>
        <v xml:space="preserve"> </v>
      </c>
      <c r="P19" s="49" t="str">
        <f>IF($E19=0," ",IF($E19=$D$31,VLOOKUP($C19,'Valeurs Règlement Campagne'!$A$4:$AB$7,20,FALSE),VLOOKUP($C19,'Valeurs Règlement Campagne'!$A$4:$AB$7,8,FALSE)))</f>
        <v xml:space="preserve"> </v>
      </c>
      <c r="Q19" s="48" t="str">
        <f>IF($E19=0," ",IF($E19=$D$31,VLOOKUP($C19,'Valeurs Règlement Campagne'!$A$4:$AB$7,22,FALSE),VLOOKUP($C19,'Valeurs Règlement Campagne'!$A$4:$AB$7,9,FALSE)))</f>
        <v xml:space="preserve"> </v>
      </c>
      <c r="R19" s="52" t="str">
        <f>IF($E19=0," ",IF($E19=$D$31,VLOOKUP($C19,'Valeurs Règlement Campagne'!$A$4:$AB$7,25,FALSE),VLOOKUP($C19,'Valeurs Règlement Campagne'!$A$4:$AB$7,11,FALSE)))</f>
        <v xml:space="preserve"> </v>
      </c>
      <c r="S19" s="46" t="str">
        <f>IF($E19=0," ",IF($E19=$D$31,VLOOKUP($C19,'Valeurs Règlement Campagne'!$A$4:$AB$7,26,FALSE),VLOOKUP($C19,'Valeurs Règlement Campagne'!$A$4:$AB$7,12,FALSE)))</f>
        <v xml:space="preserve"> </v>
      </c>
      <c r="T19" s="47" t="str">
        <f>IF($E19=0," ",IF($E19=$D$31,VLOOKUP($C19,'Valeurs Règlement Campagne'!$A$4:$AB$7,28,FALSE),VLOOKUP($C19,'Valeurs Règlement Campagne'!$A$4:$AB$7,13,FALSE)))</f>
        <v xml:space="preserve"> </v>
      </c>
      <c r="U19" s="53" t="str" cm="1">
        <f t="array" ref="U19">IF(C19=0," ",IF(AND(E19="Connues",AH19&lt;&gt;"",COUNTIFS(AH$6:AH$29,AH19,C$6:C$29,C19)&gt;1),"Doublon",IF(AND(E19="Connues",SUMPRODUCT((E$6:E$29="Connues")*(C$6:C$29=C19)*(ROW($6:$29)&lt;&gt;ROW())*(ABS(F$6:F$29-F19)&lt;=2)*((ABS(F$6:F$29-VLOOKUP(C19,'Valeurs Règlement Campagne'!$A$4:$AB$7,14,FALSE))&lt;=2)+(ABS(F$6:F$29-VLOOKUP(C19,'Valeurs Règlement Campagne'!$A$4:$AB$7,15,FALSE))&lt;=2)+(ABS(F$6:F$29-VLOOKUP(C19,'Valeurs Règlement Campagne'!$A$4:$AB$7,16,FALSE))&lt;=2)))&gt;0),"Doublon",IF($C19=0," ",IF(F19=0," ",IF(E19="Inconnues",AND(F19&gt;=L19,F19&lt;=M19),IF(AND('Valeurs Règlement Campagne'!$L$14="OUI",E19="Connues"),AND(F19&gt;=L19-2,F19&lt;=M19+2),OR(F19=L19,F19=L19+5,F19=M19))))))))</f>
        <v xml:space="preserve"> </v>
      </c>
      <c r="V19" s="54" t="str" cm="1">
        <f t="array" ref="V19">IF(C19=0," ",IF(AND(E19="Connues",AH19&lt;&gt;"",COUNTIFS(AH$6:AH$29,AH19,C$6:C$29,C19)&gt;1),"Doublon",IF(AND(E19="Connues",SUMPRODUCT((E$6:E$29="Connues")*(C$6:C$29=C19)*(ROW($6:$29)&lt;&gt;ROW())*(ABS(G$6:G$29-G19)&lt;=2)*((ABS(G$6:G$29-VLOOKUP(C19,'Valeurs Règlement Campagne'!$A$4:$AB$7,17,FALSE))&lt;=2)+(ABS(G$6:G$29-VLOOKUP(C19,'Valeurs Règlement Campagne'!$A$4:$AB$7,18,FALSE))&lt;=2)+(ABS(G$6:G$29-VLOOKUP(C19,'Valeurs Règlement Campagne'!$A$4:$AB$7,19,FALSE))&lt;=2)))&gt;0),"Doublon",IF($C19=0," ",IF(G19=0," ",IF(E19="Inconnues",AND(G19&gt;=N19,G19&lt;=O19),IF(AND('Valeurs Règlement Campagne'!$L$14="OUI",E19="Connues"),AND(G19&gt;=N19-2,G19&lt;=O19+2),OR(G19=N19,G19=N19+5,G19=O19))))))))</f>
        <v xml:space="preserve"> </v>
      </c>
      <c r="W19" s="54" t="str" cm="1">
        <f t="array" ref="W19">IF(C19=0," ",IF(AND(E19="Connues",AE19&lt;&gt;"",COUNTIFS(AE$6:AE$29,AE19,C$6:C$29,C19)&gt;1),"Doublon",IF(AND(E19="Connues",SUMPRODUCT((E$6:E$29="Connues")*(C$6:C$29=C19)*(ROW($6:$29)&lt;&gt;ROW())*(ABS(H$6:H$29-H19)&lt;=2)*((ABS(H$6:H$29-VLOOKUP(C19,'Valeurs Règlement Campagne'!$A$4:$AB$7,20,FALSE))&lt;=2)+(ABS(H$6:H$29-VLOOKUP(C19,'Valeurs Règlement Campagne'!$A$4:$AB$7,21,FALSE))&lt;=2)+(ABS(H$6:H$29-VLOOKUP(C19,'Valeurs Règlement Campagne'!$A$4:$AB$7,22,FALSE))&lt;=2)))&gt;0),"Doublon",IF($C19=0," ",IF(H19=0," ",IF(E19="Inconnues",AND(H19&gt;=P19,H19&lt;=Q19),IF(AND('Valeurs Règlement Campagne'!$L$14="OUI",E19="Connues"),AND(H19&gt;=P19-2,H19&lt;=Q19+2),OR(H19=P19,H19=P19+5,H19=P19))))))))</f>
        <v xml:space="preserve"> </v>
      </c>
      <c r="X19" s="54" t="str" cm="1">
        <f t="array" ref="X19">IF(C19=0," ",IF(AND(E19="Connues",AH19&lt;&gt;"",COUNTIFS(AH$6:AH$29,AH19,C$6:C$29,C19)&gt;1),"Doublon",IF(AND(E19="Connues",SUMPRODUCT((E$6:E$29="Connues")*(C$6:C$29=C19)*(ROW($6:$29)&lt;&gt;ROW())*(ABS(I$6:I$29-I19)&lt;=2)*((ABS(I$6:I$29-VLOOKUP(C19,'Valeurs Règlement Campagne'!$A$4:$AB$7,23,FALSE))&lt;=2)+(ABS(I$6:I$29-VLOOKUP(C19,'Valeurs Règlement Campagne'!$A$4:$AB$7,24,FALSE))&lt;=2)+(ABS(I$6:I$29-VLOOKUP(C19,'Valeurs Règlement Campagne'!$A$4:$AB$7,25,FALSE))&lt;=2)))&gt;0),"Doublon",IF($C19=0," ",IF(I19=0," ",IF(E19="Inconnues",AND(I19&gt;=P19,I19&lt;=R19),IF(AND('Valeurs Règlement Campagne'!$L$14="OUI",E19="Connues"),AND(I19&gt;=P19-2,I19&lt;=R19+2),OR(I19=P19,I19=P19+5,I19=P19))))))))</f>
        <v xml:space="preserve"> </v>
      </c>
      <c r="Y19" s="218" t="str" cm="1">
        <f t="array" ref="Y19">IF(C19=0," ",IF(AND(E19="Connues",AH19&lt;&gt;"",COUNTIFS(AH$6:AH$29,AH19,C$6:C$29,C19)&gt;1),"Doublon",IF(AND(E19="Connues",SUMPRODUCT((E$6:E$29="Connues")*(C$6:C$29=C19)*(ROW($6:$29)&lt;&gt;ROW())*(ABS(J$6:J$29-J19)&lt;=2)*((ABS(J$6:J$29-VLOOKUP(C19,'Valeurs Règlement Campagne'!$A$4:$AB$7,26,FALSE))&lt;=2)+(ABS(J$6:J$29-VLOOKUP(C19,'Valeurs Règlement Campagne'!$A$4:$AB$7,27,FALSE))&lt;=2)+(ABS(J$6:J$29-VLOOKUP(C19,'Valeurs Règlement Campagne'!$A$4:$AB$7,28,FALSE))&lt;=2)))&gt;0),"Doublon",IF($C19=0," ",IF(J19=0," ",IF(E19="Inconnues",AND(J19&gt;=S19,J19&lt;=T19),IF(AND('Valeurs Règlement Campagne'!$L$14="OUI",E19="Connues"),AND(J19&gt;=S19-2,J19&lt;=T19+2),OR(J19=S19,J19=S19+5,J19=S19))))))))</f>
        <v xml:space="preserve"> </v>
      </c>
      <c r="Z19" s="235" t="str">
        <f t="shared" si="3"/>
        <v xml:space="preserve"> </v>
      </c>
      <c r="AA19" s="233"/>
      <c r="AB19" s="233" t="str">
        <f t="shared" si="0"/>
        <v xml:space="preserve"> </v>
      </c>
      <c r="AC19" s="233"/>
      <c r="AD19" s="233" t="str">
        <f t="shared" si="1"/>
        <v xml:space="preserve"> </v>
      </c>
      <c r="AE19" s="233"/>
      <c r="AF19" s="233" t="str">
        <f t="shared" si="4"/>
        <v xml:space="preserve"> </v>
      </c>
      <c r="AG19" s="234"/>
      <c r="AH19" s="55" t="str">
        <f t="shared" si="2"/>
        <v/>
      </c>
      <c r="AI19" s="44" t="str">
        <f>IF(
  E19="Connues",
  IF(
    ABS(F19 - VLOOKUP(C19,'Valeurs Règlement Campagne'!$A$4:$V$7,12,FALSE))&lt;=2,
    VLOOKUP(C19,'Valeurs Règlement Campagne'!$A$4:$V$7,12,FALSE),
    IF(
      ABS(F19 - VLOOKUP(C19,'Valeurs Règlement Campagne'!$A$4:$V$7,13,FALSE))&lt;=2,
      VLOOKUP(C19,'Valeurs Règlement Campagne'!$A$4:$V$7,13,FALSE),
      IF(
        ABS(F19 - VLOOKUP(C19,'Valeurs Règlement Campagne'!$A$4:$V$7,14,FALSE))&lt;=2,
        VLOOKUP(C19,'Valeurs Règlement Campagne'!$A$4:$V$7,14,FALSE),
        ""
      )
    )
  ),
  ""
)</f>
        <v/>
      </c>
      <c r="AJ19" s="44" t="str">
        <f>IF(
  E19="Connues",
  IF(
    ABS(G19 - VLOOKUP(C19,'Valeurs Règlement Campagne'!$A$4:$V$7,15,FALSE))&lt;=2,
    VLOOKUP(C19,'Valeurs Règlement Campagne'!$A$4:$V$7,15,FALSE),
    IF(
      ABS(G19 - VLOOKUP(C19,'Valeurs Règlement Campagne'!$A$4:$V$7,16,FALSE))&lt;=2,
      VLOOKUP(C19,'Valeurs Règlement Campagne'!$A$4:$V$7,16,FALSE),
      IF(
        ABS(G19 - VLOOKUP(C19,'Valeurs Règlement Campagne'!$A$4:$V$7,17,FALSE))&lt;=2,
        VLOOKUP(C19,'Valeurs Règlement Campagne'!$A$4:$V$7,17,FALSE),
        ""
      )
    )
  ),
  ""
)</f>
        <v/>
      </c>
      <c r="AK19" s="44" t="str">
        <f>IF(
  E19="Connues",
  IF(
    ABS(H19 - VLOOKUP(C19,'Valeurs Règlement Campagne'!$A$4:$V$7,15,FALSE))&lt;=2,
    VLOOKUP(C19,'Valeurs Règlement Campagne'!$A$4:$V$7,15,FALSE),
    IF(
      ABS(H19 - VLOOKUP(C19,'Valeurs Règlement Campagne'!$A$4:$V$7,16,FALSE))&lt;=2,
      VLOOKUP(C19,'Valeurs Règlement Campagne'!$A$4:$V$7,16,FALSE),
      IF(
        ABS(H19 - VLOOKUP(C19,'Valeurs Règlement Campagne'!$A$4:$V$7,17,FALSE))&lt;=2,
        VLOOKUP(C19,'Valeurs Règlement Campagne'!$A$4:$V$7,17,FALSE),
        ""
      )
    )
  ),
  ""
)</f>
        <v/>
      </c>
    </row>
    <row r="20" spans="1:218" ht="20.75" customHeight="1" thickBot="1">
      <c r="A20" s="195">
        <v>15</v>
      </c>
      <c r="B20" s="191"/>
      <c r="C20" s="291"/>
      <c r="D20" s="291"/>
      <c r="E20" s="196"/>
      <c r="F20" s="188"/>
      <c r="G20" s="105"/>
      <c r="H20" s="106"/>
      <c r="I20" s="185"/>
      <c r="J20" s="202"/>
      <c r="L20" s="46" t="str">
        <f>IF($E20=0," ",IF($E20=$D$31,VLOOKUP($C20,'Valeurs Règlement Campagne'!$A$4:$AB$7,14,FALSE),VLOOKUP($C20,'Valeurs Règlement Campagne'!$A$4:$M$7,4,FALSE)))</f>
        <v xml:space="preserve"> </v>
      </c>
      <c r="M20" s="47" t="str">
        <f>IF($E20=0," ",IF($E20=$D$31,VLOOKUP($C20,'Valeurs Règlement Campagne'!$A$4:$AB$7,16,FALSE),VLOOKUP($C20,'Valeurs Règlement Campagne'!$A$4:$AB$7,5,FALSE)))</f>
        <v xml:space="preserve"> </v>
      </c>
      <c r="N20" s="46" t="str">
        <f>IF($E20=0," ",IF($E20=$D$31,VLOOKUP($C20,'Valeurs Règlement Campagne'!$A$4:$AB$7,17,FALSE),VLOOKUP($C20,'Valeurs Règlement Campagne'!$A$4:$AB$7,6,FALSE)))</f>
        <v xml:space="preserve"> </v>
      </c>
      <c r="O20" s="48" t="str">
        <f>IF($E20=0," ",IF($E20=$D$31,VLOOKUP($C20,'Valeurs Règlement Campagne'!$A$4:$AB$7,19,FALSE),VLOOKUP($C20,'Valeurs Règlement Campagne'!$A$4:$AB$7,7,FALSE)))</f>
        <v xml:space="preserve"> </v>
      </c>
      <c r="P20" s="49" t="str">
        <f>IF($E20=0," ",IF($E20=$D$31,VLOOKUP($C20,'Valeurs Règlement Campagne'!$A$4:$AB$7,20,FALSE),VLOOKUP($C20,'Valeurs Règlement Campagne'!$A$4:$AB$7,8,FALSE)))</f>
        <v xml:space="preserve"> </v>
      </c>
      <c r="Q20" s="48" t="str">
        <f>IF($E20=0," ",IF($E20=$D$31,VLOOKUP($C20,'Valeurs Règlement Campagne'!$A$4:$AB$7,22,FALSE),VLOOKUP($C20,'Valeurs Règlement Campagne'!$A$4:$AB$7,9,FALSE)))</f>
        <v xml:space="preserve"> </v>
      </c>
      <c r="R20" s="52" t="str">
        <f>IF($E20=0," ",IF($E20=$D$31,VLOOKUP($C20,'Valeurs Règlement Campagne'!$A$4:$AB$7,25,FALSE),VLOOKUP($C20,'Valeurs Règlement Campagne'!$A$4:$AB$7,11,FALSE)))</f>
        <v xml:space="preserve"> </v>
      </c>
      <c r="S20" s="46" t="str">
        <f>IF($E20=0," ",IF($E20=$D$31,VLOOKUP($C20,'Valeurs Règlement Campagne'!$A$4:$AB$7,26,FALSE),VLOOKUP($C20,'Valeurs Règlement Campagne'!$A$4:$AB$7,12,FALSE)))</f>
        <v xml:space="preserve"> </v>
      </c>
      <c r="T20" s="47" t="str">
        <f>IF($E20=0," ",IF($E20=$D$31,VLOOKUP($C20,'Valeurs Règlement Campagne'!$A$4:$AB$7,28,FALSE),VLOOKUP($C20,'Valeurs Règlement Campagne'!$A$4:$AB$7,13,FALSE)))</f>
        <v xml:space="preserve"> </v>
      </c>
      <c r="U20" s="53" t="str" cm="1">
        <f t="array" ref="U20">IF(C20=0," ",IF(AND(E20="Connues",AH20&lt;&gt;"",COUNTIFS(AH$6:AH$29,AH20,C$6:C$29,C20)&gt;1),"Doublon",IF(AND(E20="Connues",SUMPRODUCT((E$6:E$29="Connues")*(C$6:C$29=C20)*(ROW($6:$29)&lt;&gt;ROW())*(ABS(F$6:F$29-F20)&lt;=2)*((ABS(F$6:F$29-VLOOKUP(C20,'Valeurs Règlement Campagne'!$A$4:$AB$7,14,FALSE))&lt;=2)+(ABS(F$6:F$29-VLOOKUP(C20,'Valeurs Règlement Campagne'!$A$4:$AB$7,15,FALSE))&lt;=2)+(ABS(F$6:F$29-VLOOKUP(C20,'Valeurs Règlement Campagne'!$A$4:$AB$7,16,FALSE))&lt;=2)))&gt;0),"Doublon",IF($C20=0," ",IF(F20=0," ",IF(E20="Inconnues",AND(F20&gt;=L20,F20&lt;=M20),IF(AND('Valeurs Règlement Campagne'!$L$14="OUI",E20="Connues"),AND(F20&gt;=L20-2,F20&lt;=M20+2),OR(F20=L20,F20=L20+5,F20=M20))))))))</f>
        <v xml:space="preserve"> </v>
      </c>
      <c r="V20" s="54" t="str" cm="1">
        <f t="array" ref="V20">IF(C20=0," ",IF(AND(E20="Connues",AH20&lt;&gt;"",COUNTIFS(AH$6:AH$29,AH20,C$6:C$29,C20)&gt;1),"Doublon",IF(AND(E20="Connues",SUMPRODUCT((E$6:E$29="Connues")*(C$6:C$29=C20)*(ROW($6:$29)&lt;&gt;ROW())*(ABS(G$6:G$29-G20)&lt;=2)*((ABS(G$6:G$29-VLOOKUP(C20,'Valeurs Règlement Campagne'!$A$4:$AB$7,17,FALSE))&lt;=2)+(ABS(G$6:G$29-VLOOKUP(C20,'Valeurs Règlement Campagne'!$A$4:$AB$7,18,FALSE))&lt;=2)+(ABS(G$6:G$29-VLOOKUP(C20,'Valeurs Règlement Campagne'!$A$4:$AB$7,19,FALSE))&lt;=2)))&gt;0),"Doublon",IF($C20=0," ",IF(G20=0," ",IF(E20="Inconnues",AND(G20&gt;=N20,G20&lt;=O20),IF(AND('Valeurs Règlement Campagne'!$L$14="OUI",E20="Connues"),AND(G20&gt;=N20-2,G20&lt;=O20+2),OR(G20=N20,G20=N20+5,G20=O20))))))))</f>
        <v xml:space="preserve"> </v>
      </c>
      <c r="W20" s="54" t="str" cm="1">
        <f t="array" ref="W20">IF(C20=0," ",IF(AND(E20="Connues",AE20&lt;&gt;"",COUNTIFS(AE$6:AE$29,AE20,C$6:C$29,C20)&gt;1),"Doublon",IF(AND(E20="Connues",SUMPRODUCT((E$6:E$29="Connues")*(C$6:C$29=C20)*(ROW($6:$29)&lt;&gt;ROW())*(ABS(H$6:H$29-H20)&lt;=2)*((ABS(H$6:H$29-VLOOKUP(C20,'Valeurs Règlement Campagne'!$A$4:$AB$7,20,FALSE))&lt;=2)+(ABS(H$6:H$29-VLOOKUP(C20,'Valeurs Règlement Campagne'!$A$4:$AB$7,21,FALSE))&lt;=2)+(ABS(H$6:H$29-VLOOKUP(C20,'Valeurs Règlement Campagne'!$A$4:$AB$7,22,FALSE))&lt;=2)))&gt;0),"Doublon",IF($C20=0," ",IF(H20=0," ",IF(E20="Inconnues",AND(H20&gt;=P20,H20&lt;=Q20),IF(AND('Valeurs Règlement Campagne'!$L$14="OUI",E20="Connues"),AND(H20&gt;=P20-2,H20&lt;=Q20+2),OR(H20=P20,H20=P20+5,H20=P20))))))))</f>
        <v xml:space="preserve"> </v>
      </c>
      <c r="X20" s="54" t="str" cm="1">
        <f t="array" ref="X20">IF(C20=0," ",IF(AND(E20="Connues",AH20&lt;&gt;"",COUNTIFS(AH$6:AH$29,AH20,C$6:C$29,C20)&gt;1),"Doublon",IF(AND(E20="Connues",SUMPRODUCT((E$6:E$29="Connues")*(C$6:C$29=C20)*(ROW($6:$29)&lt;&gt;ROW())*(ABS(I$6:I$29-I20)&lt;=2)*((ABS(I$6:I$29-VLOOKUP(C20,'Valeurs Règlement Campagne'!$A$4:$AB$7,23,FALSE))&lt;=2)+(ABS(I$6:I$29-VLOOKUP(C20,'Valeurs Règlement Campagne'!$A$4:$AB$7,24,FALSE))&lt;=2)+(ABS(I$6:I$29-VLOOKUP(C20,'Valeurs Règlement Campagne'!$A$4:$AB$7,25,FALSE))&lt;=2)))&gt;0),"Doublon",IF($C20=0," ",IF(I20=0," ",IF(E20="Inconnues",AND(I20&gt;=P20,I20&lt;=R20),IF(AND('Valeurs Règlement Campagne'!$L$14="OUI",E20="Connues"),AND(I20&gt;=P20-2,I20&lt;=R20+2),OR(I20=P20,I20=P20+5,I20=P20))))))))</f>
        <v xml:space="preserve"> </v>
      </c>
      <c r="Y20" s="218" t="str" cm="1">
        <f t="array" ref="Y20">IF(C20=0," ",IF(AND(E20="Connues",AH20&lt;&gt;"",COUNTIFS(AH$6:AH$29,AH20,C$6:C$29,C20)&gt;1),"Doublon",IF(AND(E20="Connues",SUMPRODUCT((E$6:E$29="Connues")*(C$6:C$29=C20)*(ROW($6:$29)&lt;&gt;ROW())*(ABS(J$6:J$29-J20)&lt;=2)*((ABS(J$6:J$29-VLOOKUP(C20,'Valeurs Règlement Campagne'!$A$4:$AB$7,26,FALSE))&lt;=2)+(ABS(J$6:J$29-VLOOKUP(C20,'Valeurs Règlement Campagne'!$A$4:$AB$7,27,FALSE))&lt;=2)+(ABS(J$6:J$29-VLOOKUP(C20,'Valeurs Règlement Campagne'!$A$4:$AB$7,28,FALSE))&lt;=2)))&gt;0),"Doublon",IF($C20=0," ",IF(J20=0," ",IF(E20="Inconnues",AND(J20&gt;=S20,J20&lt;=T20),IF(AND('Valeurs Règlement Campagne'!$L$14="OUI",E20="Connues"),AND(J20&gt;=S20-2,J20&lt;=T20+2),OR(J20=S20,J20=S20+5,J20=S20))))))))</f>
        <v xml:space="preserve"> </v>
      </c>
      <c r="Z20" s="235" t="str">
        <f t="shared" si="3"/>
        <v xml:space="preserve"> </v>
      </c>
      <c r="AA20" s="233"/>
      <c r="AB20" s="233" t="str">
        <f t="shared" si="0"/>
        <v xml:space="preserve"> </v>
      </c>
      <c r="AC20" s="233"/>
      <c r="AD20" s="233" t="str">
        <f t="shared" si="1"/>
        <v xml:space="preserve"> </v>
      </c>
      <c r="AE20" s="233"/>
      <c r="AF20" s="233" t="str">
        <f t="shared" si="4"/>
        <v xml:space="preserve"> </v>
      </c>
      <c r="AG20" s="234"/>
      <c r="AH20" s="55" t="str">
        <f t="shared" si="2"/>
        <v/>
      </c>
      <c r="AI20" s="44" t="str">
        <f>IF(
  E20="Connues",
  IF(
    ABS(F20 - VLOOKUP(C20,'Valeurs Règlement Campagne'!$A$4:$V$7,12,FALSE))&lt;=2,
    VLOOKUP(C20,'Valeurs Règlement Campagne'!$A$4:$V$7,12,FALSE),
    IF(
      ABS(F20 - VLOOKUP(C20,'Valeurs Règlement Campagne'!$A$4:$V$7,13,FALSE))&lt;=2,
      VLOOKUP(C20,'Valeurs Règlement Campagne'!$A$4:$V$7,13,FALSE),
      IF(
        ABS(F20 - VLOOKUP(C20,'Valeurs Règlement Campagne'!$A$4:$V$7,14,FALSE))&lt;=2,
        VLOOKUP(C20,'Valeurs Règlement Campagne'!$A$4:$V$7,14,FALSE),
        ""
      )
    )
  ),
  ""
)</f>
        <v/>
      </c>
      <c r="AJ20" s="44" t="str">
        <f>IF(
  E20="Connues",
  IF(
    ABS(G20 - VLOOKUP(C20,'Valeurs Règlement Campagne'!$A$4:$V$7,15,FALSE))&lt;=2,
    VLOOKUP(C20,'Valeurs Règlement Campagne'!$A$4:$V$7,15,FALSE),
    IF(
      ABS(G20 - VLOOKUP(C20,'Valeurs Règlement Campagne'!$A$4:$V$7,16,FALSE))&lt;=2,
      VLOOKUP(C20,'Valeurs Règlement Campagne'!$A$4:$V$7,16,FALSE),
      IF(
        ABS(G20 - VLOOKUP(C20,'Valeurs Règlement Campagne'!$A$4:$V$7,17,FALSE))&lt;=2,
        VLOOKUP(C20,'Valeurs Règlement Campagne'!$A$4:$V$7,17,FALSE),
        ""
      )
    )
  ),
  ""
)</f>
        <v/>
      </c>
      <c r="AK20" s="44" t="str">
        <f>IF(
  E20="Connues",
  IF(
    ABS(H20 - VLOOKUP(C20,'Valeurs Règlement Campagne'!$A$4:$V$7,15,FALSE))&lt;=2,
    VLOOKUP(C20,'Valeurs Règlement Campagne'!$A$4:$V$7,15,FALSE),
    IF(
      ABS(H20 - VLOOKUP(C20,'Valeurs Règlement Campagne'!$A$4:$V$7,16,FALSE))&lt;=2,
      VLOOKUP(C20,'Valeurs Règlement Campagne'!$A$4:$V$7,16,FALSE),
      IF(
        ABS(H20 - VLOOKUP(C20,'Valeurs Règlement Campagne'!$A$4:$V$7,17,FALSE))&lt;=2,
        VLOOKUP(C20,'Valeurs Règlement Campagne'!$A$4:$V$7,17,FALSE),
        ""
      )
    )
  ),
  ""
)</f>
        <v/>
      </c>
    </row>
    <row r="21" spans="1:218" ht="20.75" customHeight="1" thickBot="1">
      <c r="A21" s="195">
        <v>16</v>
      </c>
      <c r="B21" s="191"/>
      <c r="C21" s="291"/>
      <c r="D21" s="291"/>
      <c r="E21" s="196"/>
      <c r="F21" s="188"/>
      <c r="G21" s="105"/>
      <c r="H21" s="106"/>
      <c r="I21" s="185"/>
      <c r="J21" s="202"/>
      <c r="L21" s="46" t="str">
        <f>IF($E21=0," ",IF($E21=$D$31,VLOOKUP($C21,'Valeurs Règlement Campagne'!$A$4:$AB$7,14,FALSE),VLOOKUP($C21,'Valeurs Règlement Campagne'!$A$4:$M$7,4,FALSE)))</f>
        <v xml:space="preserve"> </v>
      </c>
      <c r="M21" s="47" t="str">
        <f>IF($E21=0," ",IF($E21=$D$31,VLOOKUP($C21,'Valeurs Règlement Campagne'!$A$4:$AB$7,16,FALSE),VLOOKUP($C21,'Valeurs Règlement Campagne'!$A$4:$AB$7,5,FALSE)))</f>
        <v xml:space="preserve"> </v>
      </c>
      <c r="N21" s="46" t="str">
        <f>IF($E21=0," ",IF($E21=$D$31,VLOOKUP($C21,'Valeurs Règlement Campagne'!$A$4:$AB$7,17,FALSE),VLOOKUP($C21,'Valeurs Règlement Campagne'!$A$4:$AB$7,6,FALSE)))</f>
        <v xml:space="preserve"> </v>
      </c>
      <c r="O21" s="48" t="str">
        <f>IF($E21=0," ",IF($E21=$D$31,VLOOKUP($C21,'Valeurs Règlement Campagne'!$A$4:$AB$7,19,FALSE),VLOOKUP($C21,'Valeurs Règlement Campagne'!$A$4:$AB$7,7,FALSE)))</f>
        <v xml:space="preserve"> </v>
      </c>
      <c r="P21" s="49" t="str">
        <f>IF($E21=0," ",IF($E21=$D$31,VLOOKUP($C21,'Valeurs Règlement Campagne'!$A$4:$AB$7,20,FALSE),VLOOKUP($C21,'Valeurs Règlement Campagne'!$A$4:$AB$7,8,FALSE)))</f>
        <v xml:space="preserve"> </v>
      </c>
      <c r="Q21" s="48" t="str">
        <f>IF($E21=0," ",IF($E21=$D$31,VLOOKUP($C21,'Valeurs Règlement Campagne'!$A$4:$AB$7,22,FALSE),VLOOKUP($C21,'Valeurs Règlement Campagne'!$A$4:$AB$7,9,FALSE)))</f>
        <v xml:space="preserve"> </v>
      </c>
      <c r="R21" s="52" t="str">
        <f>IF($E21=0," ",IF($E21=$D$31,VLOOKUP($C21,'Valeurs Règlement Campagne'!$A$4:$AB$7,25,FALSE),VLOOKUP($C21,'Valeurs Règlement Campagne'!$A$4:$AB$7,11,FALSE)))</f>
        <v xml:space="preserve"> </v>
      </c>
      <c r="S21" s="46" t="str">
        <f>IF($E21=0," ",IF($E21=$D$31,VLOOKUP($C21,'Valeurs Règlement Campagne'!$A$4:$AB$7,26,FALSE),VLOOKUP($C21,'Valeurs Règlement Campagne'!$A$4:$AB$7,12,FALSE)))</f>
        <v xml:space="preserve"> </v>
      </c>
      <c r="T21" s="47" t="str">
        <f>IF($E21=0," ",IF($E21=$D$31,VLOOKUP($C21,'Valeurs Règlement Campagne'!$A$4:$AB$7,28,FALSE),VLOOKUP($C21,'Valeurs Règlement Campagne'!$A$4:$AB$7,13,FALSE)))</f>
        <v xml:space="preserve"> </v>
      </c>
      <c r="U21" s="53" t="str" cm="1">
        <f t="array" ref="U21">IF(C21=0," ",IF(AND(E21="Connues",AH21&lt;&gt;"",COUNTIFS(AH$6:AH$29,AH21,C$6:C$29,C21)&gt;1),"Doublon",IF(AND(E21="Connues",SUMPRODUCT((E$6:E$29="Connues")*(C$6:C$29=C21)*(ROW($6:$29)&lt;&gt;ROW())*(ABS(F$6:F$29-F21)&lt;=2)*((ABS(F$6:F$29-VLOOKUP(C21,'Valeurs Règlement Campagne'!$A$4:$AB$7,14,FALSE))&lt;=2)+(ABS(F$6:F$29-VLOOKUP(C21,'Valeurs Règlement Campagne'!$A$4:$AB$7,15,FALSE))&lt;=2)+(ABS(F$6:F$29-VLOOKUP(C21,'Valeurs Règlement Campagne'!$A$4:$AB$7,16,FALSE))&lt;=2)))&gt;0),"Doublon",IF($C21=0," ",IF(F21=0," ",IF(E21="Inconnues",AND(F21&gt;=L21,F21&lt;=M21),IF(AND('Valeurs Règlement Campagne'!$L$14="OUI",E21="Connues"),AND(F21&gt;=L21-2,F21&lt;=M21+2),OR(F21=L21,F21=L21+5,F21=M21))))))))</f>
        <v xml:space="preserve"> </v>
      </c>
      <c r="V21" s="54" t="str" cm="1">
        <f t="array" ref="V21">IF(C21=0," ",IF(AND(E21="Connues",AH21&lt;&gt;"",COUNTIFS(AH$6:AH$29,AH21,C$6:C$29,C21)&gt;1),"Doublon",IF(AND(E21="Connues",SUMPRODUCT((E$6:E$29="Connues")*(C$6:C$29=C21)*(ROW($6:$29)&lt;&gt;ROW())*(ABS(G$6:G$29-G21)&lt;=2)*((ABS(G$6:G$29-VLOOKUP(C21,'Valeurs Règlement Campagne'!$A$4:$AB$7,17,FALSE))&lt;=2)+(ABS(G$6:G$29-VLOOKUP(C21,'Valeurs Règlement Campagne'!$A$4:$AB$7,18,FALSE))&lt;=2)+(ABS(G$6:G$29-VLOOKUP(C21,'Valeurs Règlement Campagne'!$A$4:$AB$7,19,FALSE))&lt;=2)))&gt;0),"Doublon",IF($C21=0," ",IF(G21=0," ",IF(E21="Inconnues",AND(G21&gt;=N21,G21&lt;=O21),IF(AND('Valeurs Règlement Campagne'!$L$14="OUI",E21="Connues"),AND(G21&gt;=N21-2,G21&lt;=O21+2),OR(G21=N21,G21=N21+5,G21=O21))))))))</f>
        <v xml:space="preserve"> </v>
      </c>
      <c r="W21" s="54" t="str" cm="1">
        <f t="array" ref="W21">IF(C21=0," ",IF(AND(E21="Connues",AE21&lt;&gt;"",COUNTIFS(AE$6:AE$29,AE21,C$6:C$29,C21)&gt;1),"Doublon",IF(AND(E21="Connues",SUMPRODUCT((E$6:E$29="Connues")*(C$6:C$29=C21)*(ROW($6:$29)&lt;&gt;ROW())*(ABS(H$6:H$29-H21)&lt;=2)*((ABS(H$6:H$29-VLOOKUP(C21,'Valeurs Règlement Campagne'!$A$4:$AB$7,20,FALSE))&lt;=2)+(ABS(H$6:H$29-VLOOKUP(C21,'Valeurs Règlement Campagne'!$A$4:$AB$7,21,FALSE))&lt;=2)+(ABS(H$6:H$29-VLOOKUP(C21,'Valeurs Règlement Campagne'!$A$4:$AB$7,22,FALSE))&lt;=2)))&gt;0),"Doublon",IF($C21=0," ",IF(H21=0," ",IF(E21="Inconnues",AND(H21&gt;=P21,H21&lt;=Q21),IF(AND('Valeurs Règlement Campagne'!$L$14="OUI",E21="Connues"),AND(H21&gt;=P21-2,H21&lt;=Q21+2),OR(H21=P21,H21=P21+5,H21=P21))))))))</f>
        <v xml:space="preserve"> </v>
      </c>
      <c r="X21" s="54" t="str" cm="1">
        <f t="array" ref="X21">IF(C21=0," ",IF(AND(E21="Connues",AH21&lt;&gt;"",COUNTIFS(AH$6:AH$29,AH21,C$6:C$29,C21)&gt;1),"Doublon",IF(AND(E21="Connues",SUMPRODUCT((E$6:E$29="Connues")*(C$6:C$29=C21)*(ROW($6:$29)&lt;&gt;ROW())*(ABS(I$6:I$29-I21)&lt;=2)*((ABS(I$6:I$29-VLOOKUP(C21,'Valeurs Règlement Campagne'!$A$4:$AB$7,23,FALSE))&lt;=2)+(ABS(I$6:I$29-VLOOKUP(C21,'Valeurs Règlement Campagne'!$A$4:$AB$7,24,FALSE))&lt;=2)+(ABS(I$6:I$29-VLOOKUP(C21,'Valeurs Règlement Campagne'!$A$4:$AB$7,25,FALSE))&lt;=2)))&gt;0),"Doublon",IF($C21=0," ",IF(I21=0," ",IF(E21="Inconnues",AND(I21&gt;=P21,I21&lt;=R21),IF(AND('Valeurs Règlement Campagne'!$L$14="OUI",E21="Connues"),AND(I21&gt;=P21-2,I21&lt;=R21+2),OR(I21=P21,I21=P21+5,I21=P21))))))))</f>
        <v xml:space="preserve"> </v>
      </c>
      <c r="Y21" s="218" t="str" cm="1">
        <f t="array" ref="Y21">IF(C21=0," ",IF(AND(E21="Connues",AH21&lt;&gt;"",COUNTIFS(AH$6:AH$29,AH21,C$6:C$29,C21)&gt;1),"Doublon",IF(AND(E21="Connues",SUMPRODUCT((E$6:E$29="Connues")*(C$6:C$29=C21)*(ROW($6:$29)&lt;&gt;ROW())*(ABS(J$6:J$29-J21)&lt;=2)*((ABS(J$6:J$29-VLOOKUP(C21,'Valeurs Règlement Campagne'!$A$4:$AB$7,26,FALSE))&lt;=2)+(ABS(J$6:J$29-VLOOKUP(C21,'Valeurs Règlement Campagne'!$A$4:$AB$7,27,FALSE))&lt;=2)+(ABS(J$6:J$29-VLOOKUP(C21,'Valeurs Règlement Campagne'!$A$4:$AB$7,28,FALSE))&lt;=2)))&gt;0),"Doublon",IF($C21=0," ",IF(J21=0," ",IF(E21="Inconnues",AND(J21&gt;=S21,J21&lt;=T21),IF(AND('Valeurs Règlement Campagne'!$L$14="OUI",E21="Connues"),AND(J21&gt;=S21-2,J21&lt;=T21+2),OR(J21=S21,J21=S21+5,J21=S21))))))))</f>
        <v xml:space="preserve"> </v>
      </c>
      <c r="Z21" s="235" t="str">
        <f t="shared" si="3"/>
        <v xml:space="preserve"> </v>
      </c>
      <c r="AA21" s="233"/>
      <c r="AB21" s="233" t="str">
        <f t="shared" si="0"/>
        <v xml:space="preserve"> </v>
      </c>
      <c r="AC21" s="233"/>
      <c r="AD21" s="233" t="str">
        <f t="shared" si="1"/>
        <v xml:space="preserve"> </v>
      </c>
      <c r="AE21" s="233"/>
      <c r="AF21" s="233" t="str">
        <f t="shared" si="4"/>
        <v xml:space="preserve"> </v>
      </c>
      <c r="AG21" s="234"/>
      <c r="AH21" s="55" t="str">
        <f t="shared" si="2"/>
        <v/>
      </c>
      <c r="AI21" s="44" t="str">
        <f>IF(
  E21="Connues",
  IF(
    ABS(F21 - VLOOKUP(C21,'Valeurs Règlement Campagne'!$A$4:$V$7,12,FALSE))&lt;=2,
    VLOOKUP(C21,'Valeurs Règlement Campagne'!$A$4:$V$7,12,FALSE),
    IF(
      ABS(F21 - VLOOKUP(C21,'Valeurs Règlement Campagne'!$A$4:$V$7,13,FALSE))&lt;=2,
      VLOOKUP(C21,'Valeurs Règlement Campagne'!$A$4:$V$7,13,FALSE),
      IF(
        ABS(F21 - VLOOKUP(C21,'Valeurs Règlement Campagne'!$A$4:$V$7,14,FALSE))&lt;=2,
        VLOOKUP(C21,'Valeurs Règlement Campagne'!$A$4:$V$7,14,FALSE),
        ""
      )
    )
  ),
  ""
)</f>
        <v/>
      </c>
      <c r="AJ21" s="44" t="str">
        <f>IF(
  E21="Connues",
  IF(
    ABS(G21 - VLOOKUP(C21,'Valeurs Règlement Campagne'!$A$4:$V$7,15,FALSE))&lt;=2,
    VLOOKUP(C21,'Valeurs Règlement Campagne'!$A$4:$V$7,15,FALSE),
    IF(
      ABS(G21 - VLOOKUP(C21,'Valeurs Règlement Campagne'!$A$4:$V$7,16,FALSE))&lt;=2,
      VLOOKUP(C21,'Valeurs Règlement Campagne'!$A$4:$V$7,16,FALSE),
      IF(
        ABS(G21 - VLOOKUP(C21,'Valeurs Règlement Campagne'!$A$4:$V$7,17,FALSE))&lt;=2,
        VLOOKUP(C21,'Valeurs Règlement Campagne'!$A$4:$V$7,17,FALSE),
        ""
      )
    )
  ),
  ""
)</f>
        <v/>
      </c>
      <c r="AK21" s="44" t="str">
        <f>IF(
  E21="Connues",
  IF(
    ABS(H21 - VLOOKUP(C21,'Valeurs Règlement Campagne'!$A$4:$V$7,15,FALSE))&lt;=2,
    VLOOKUP(C21,'Valeurs Règlement Campagne'!$A$4:$V$7,15,FALSE),
    IF(
      ABS(H21 - VLOOKUP(C21,'Valeurs Règlement Campagne'!$A$4:$V$7,16,FALSE))&lt;=2,
      VLOOKUP(C21,'Valeurs Règlement Campagne'!$A$4:$V$7,16,FALSE),
      IF(
        ABS(H21 - VLOOKUP(C21,'Valeurs Règlement Campagne'!$A$4:$V$7,17,FALSE))&lt;=2,
        VLOOKUP(C21,'Valeurs Règlement Campagne'!$A$4:$V$7,17,FALSE),
        ""
      )
    )
  ),
  ""
)</f>
        <v/>
      </c>
    </row>
    <row r="22" spans="1:218" ht="20.75" customHeight="1" thickBot="1">
      <c r="A22" s="195">
        <v>17</v>
      </c>
      <c r="B22" s="191"/>
      <c r="C22" s="291"/>
      <c r="D22" s="291"/>
      <c r="E22" s="196"/>
      <c r="F22" s="188"/>
      <c r="G22" s="105"/>
      <c r="H22" s="106"/>
      <c r="I22" s="185"/>
      <c r="J22" s="202"/>
      <c r="L22" s="46" t="str">
        <f>IF($E22=0," ",IF($E22=$D$31,VLOOKUP($C22,'Valeurs Règlement Campagne'!$A$4:$AB$7,14,FALSE),VLOOKUP($C22,'Valeurs Règlement Campagne'!$A$4:$M$7,4,FALSE)))</f>
        <v xml:space="preserve"> </v>
      </c>
      <c r="M22" s="47" t="str">
        <f>IF($E22=0," ",IF($E22=$D$31,VLOOKUP($C22,'Valeurs Règlement Campagne'!$A$4:$AB$7,16,FALSE),VLOOKUP($C22,'Valeurs Règlement Campagne'!$A$4:$AB$7,5,FALSE)))</f>
        <v xml:space="preserve"> </v>
      </c>
      <c r="N22" s="46" t="str">
        <f>IF($E22=0," ",IF($E22=$D$31,VLOOKUP($C22,'Valeurs Règlement Campagne'!$A$4:$AB$7,17,FALSE),VLOOKUP($C22,'Valeurs Règlement Campagne'!$A$4:$AB$7,6,FALSE)))</f>
        <v xml:space="preserve"> </v>
      </c>
      <c r="O22" s="48" t="str">
        <f>IF($E22=0," ",IF($E22=$D$31,VLOOKUP($C22,'Valeurs Règlement Campagne'!$A$4:$AB$7,19,FALSE),VLOOKUP($C22,'Valeurs Règlement Campagne'!$A$4:$AB$7,7,FALSE)))</f>
        <v xml:space="preserve"> </v>
      </c>
      <c r="P22" s="49" t="str">
        <f>IF($E22=0," ",IF($E22=$D$31,VLOOKUP($C22,'Valeurs Règlement Campagne'!$A$4:$AB$7,20,FALSE),VLOOKUP($C22,'Valeurs Règlement Campagne'!$A$4:$AB$7,8,FALSE)))</f>
        <v xml:space="preserve"> </v>
      </c>
      <c r="Q22" s="48" t="str">
        <f>IF($E22=0," ",IF($E22=$D$31,VLOOKUP($C22,'Valeurs Règlement Campagne'!$A$4:$AB$7,22,FALSE),VLOOKUP($C22,'Valeurs Règlement Campagne'!$A$4:$AB$7,9,FALSE)))</f>
        <v xml:space="preserve"> </v>
      </c>
      <c r="R22" s="52" t="str">
        <f>IF($E22=0," ",IF($E22=$D$31,VLOOKUP($C22,'Valeurs Règlement Campagne'!$A$4:$AB$7,25,FALSE),VLOOKUP($C22,'Valeurs Règlement Campagne'!$A$4:$AB$7,11,FALSE)))</f>
        <v xml:space="preserve"> </v>
      </c>
      <c r="S22" s="46" t="str">
        <f>IF($E22=0," ",IF($E22=$D$31,VLOOKUP($C22,'Valeurs Règlement Campagne'!$A$4:$AB$7,26,FALSE),VLOOKUP($C22,'Valeurs Règlement Campagne'!$A$4:$AB$7,12,FALSE)))</f>
        <v xml:space="preserve"> </v>
      </c>
      <c r="T22" s="47" t="str">
        <f>IF($E22=0," ",IF($E22=$D$31,VLOOKUP($C22,'Valeurs Règlement Campagne'!$A$4:$AB$7,28,FALSE),VLOOKUP($C22,'Valeurs Règlement Campagne'!$A$4:$AB$7,13,FALSE)))</f>
        <v xml:space="preserve"> </v>
      </c>
      <c r="U22" s="53" t="str" cm="1">
        <f t="array" ref="U22">IF(C22=0," ",IF(AND(E22="Connues",AH22&lt;&gt;"",COUNTIFS(AH$6:AH$29,AH22,C$6:C$29,C22)&gt;1),"Doublon",IF(AND(E22="Connues",SUMPRODUCT((E$6:E$29="Connues")*(C$6:C$29=C22)*(ROW($6:$29)&lt;&gt;ROW())*(ABS(F$6:F$29-F22)&lt;=2)*((ABS(F$6:F$29-VLOOKUP(C22,'Valeurs Règlement Campagne'!$A$4:$AB$7,14,FALSE))&lt;=2)+(ABS(F$6:F$29-VLOOKUP(C22,'Valeurs Règlement Campagne'!$A$4:$AB$7,15,FALSE))&lt;=2)+(ABS(F$6:F$29-VLOOKUP(C22,'Valeurs Règlement Campagne'!$A$4:$AB$7,16,FALSE))&lt;=2)))&gt;0),"Doublon",IF($C22=0," ",IF(F22=0," ",IF(E22="Inconnues",AND(F22&gt;=L22,F22&lt;=M22),IF(AND('Valeurs Règlement Campagne'!$L$14="OUI",E22="Connues"),AND(F22&gt;=L22-2,F22&lt;=M22+2),OR(F22=L22,F22=L22+5,F22=M22))))))))</f>
        <v xml:space="preserve"> </v>
      </c>
      <c r="V22" s="54" t="str" cm="1">
        <f t="array" ref="V22">IF(C22=0," ",IF(AND(E22="Connues",AH22&lt;&gt;"",COUNTIFS(AH$6:AH$29,AH22,C$6:C$29,C22)&gt;1),"Doublon",IF(AND(E22="Connues",SUMPRODUCT((E$6:E$29="Connues")*(C$6:C$29=C22)*(ROW($6:$29)&lt;&gt;ROW())*(ABS(G$6:G$29-G22)&lt;=2)*((ABS(G$6:G$29-VLOOKUP(C22,'Valeurs Règlement Campagne'!$A$4:$AB$7,17,FALSE))&lt;=2)+(ABS(G$6:G$29-VLOOKUP(C22,'Valeurs Règlement Campagne'!$A$4:$AB$7,18,FALSE))&lt;=2)+(ABS(G$6:G$29-VLOOKUP(C22,'Valeurs Règlement Campagne'!$A$4:$AB$7,19,FALSE))&lt;=2)))&gt;0),"Doublon",IF($C22=0," ",IF(G22=0," ",IF(E22="Inconnues",AND(G22&gt;=N22,G22&lt;=O22),IF(AND('Valeurs Règlement Campagne'!$L$14="OUI",E22="Connues"),AND(G22&gt;=N22-2,G22&lt;=O22+2),OR(G22=N22,G22=N22+5,G22=O22))))))))</f>
        <v xml:space="preserve"> </v>
      </c>
      <c r="W22" s="54" t="str" cm="1">
        <f t="array" ref="W22">IF(C22=0," ",IF(AND(E22="Connues",AE22&lt;&gt;"",COUNTIFS(AE$6:AE$29,AE22,C$6:C$29,C22)&gt;1),"Doublon",IF(AND(E22="Connues",SUMPRODUCT((E$6:E$29="Connues")*(C$6:C$29=C22)*(ROW($6:$29)&lt;&gt;ROW())*(ABS(H$6:H$29-H22)&lt;=2)*((ABS(H$6:H$29-VLOOKUP(C22,'Valeurs Règlement Campagne'!$A$4:$AB$7,20,FALSE))&lt;=2)+(ABS(H$6:H$29-VLOOKUP(C22,'Valeurs Règlement Campagne'!$A$4:$AB$7,21,FALSE))&lt;=2)+(ABS(H$6:H$29-VLOOKUP(C22,'Valeurs Règlement Campagne'!$A$4:$AB$7,22,FALSE))&lt;=2)))&gt;0),"Doublon",IF($C22=0," ",IF(H22=0," ",IF(E22="Inconnues",AND(H22&gt;=P22,H22&lt;=Q22),IF(AND('Valeurs Règlement Campagne'!$L$14="OUI",E22="Connues"),AND(H22&gt;=P22-2,H22&lt;=Q22+2),OR(H22=P22,H22=P22+5,H22=P22))))))))</f>
        <v xml:space="preserve"> </v>
      </c>
      <c r="X22" s="54" t="str" cm="1">
        <f t="array" ref="X22">IF(C22=0," ",IF(AND(E22="Connues",AH22&lt;&gt;"",COUNTIFS(AH$6:AH$29,AH22,C$6:C$29,C22)&gt;1),"Doublon",IF(AND(E22="Connues",SUMPRODUCT((E$6:E$29="Connues")*(C$6:C$29=C22)*(ROW($6:$29)&lt;&gt;ROW())*(ABS(I$6:I$29-I22)&lt;=2)*((ABS(I$6:I$29-VLOOKUP(C22,'Valeurs Règlement Campagne'!$A$4:$AB$7,23,FALSE))&lt;=2)+(ABS(I$6:I$29-VLOOKUP(C22,'Valeurs Règlement Campagne'!$A$4:$AB$7,24,FALSE))&lt;=2)+(ABS(I$6:I$29-VLOOKUP(C22,'Valeurs Règlement Campagne'!$A$4:$AB$7,25,FALSE))&lt;=2)))&gt;0),"Doublon",IF($C22=0," ",IF(I22=0," ",IF(E22="Inconnues",AND(I22&gt;=P22,I22&lt;=R22),IF(AND('Valeurs Règlement Campagne'!$L$14="OUI",E22="Connues"),AND(I22&gt;=P22-2,I22&lt;=R22+2),OR(I22=P22,I22=P22+5,I22=P22))))))))</f>
        <v xml:space="preserve"> </v>
      </c>
      <c r="Y22" s="218" t="str" cm="1">
        <f t="array" ref="Y22">IF(C22=0," ",IF(AND(E22="Connues",AH22&lt;&gt;"",COUNTIFS(AH$6:AH$29,AH22,C$6:C$29,C22)&gt;1),"Doublon",IF(AND(E22="Connues",SUMPRODUCT((E$6:E$29="Connues")*(C$6:C$29=C22)*(ROW($6:$29)&lt;&gt;ROW())*(ABS(J$6:J$29-J22)&lt;=2)*((ABS(J$6:J$29-VLOOKUP(C22,'Valeurs Règlement Campagne'!$A$4:$AB$7,26,FALSE))&lt;=2)+(ABS(J$6:J$29-VLOOKUP(C22,'Valeurs Règlement Campagne'!$A$4:$AB$7,27,FALSE))&lt;=2)+(ABS(J$6:J$29-VLOOKUP(C22,'Valeurs Règlement Campagne'!$A$4:$AB$7,28,FALSE))&lt;=2)))&gt;0),"Doublon",IF($C22=0," ",IF(J22=0," ",IF(E22="Inconnues",AND(J22&gt;=S22,J22&lt;=T22),IF(AND('Valeurs Règlement Campagne'!$L$14="OUI",E22="Connues"),AND(J22&gt;=S22-2,J22&lt;=T22+2),OR(J22=S22,J22=S22+5,J22=S22))))))))</f>
        <v xml:space="preserve"> </v>
      </c>
      <c r="Z22" s="235" t="str">
        <f t="shared" si="3"/>
        <v xml:space="preserve"> </v>
      </c>
      <c r="AA22" s="233"/>
      <c r="AB22" s="233" t="str">
        <f t="shared" si="0"/>
        <v xml:space="preserve"> </v>
      </c>
      <c r="AC22" s="233"/>
      <c r="AD22" s="233" t="str">
        <f t="shared" si="1"/>
        <v xml:space="preserve"> </v>
      </c>
      <c r="AE22" s="233"/>
      <c r="AF22" s="233" t="str">
        <f t="shared" si="4"/>
        <v xml:space="preserve"> </v>
      </c>
      <c r="AG22" s="234"/>
      <c r="AH22" s="55" t="str">
        <f t="shared" si="2"/>
        <v/>
      </c>
      <c r="AI22" s="44" t="str">
        <f>IF(
  E22="Connues",
  IF(
    ABS(F22 - VLOOKUP(C22,'Valeurs Règlement Campagne'!$A$4:$V$7,12,FALSE))&lt;=2,
    VLOOKUP(C22,'Valeurs Règlement Campagne'!$A$4:$V$7,12,FALSE),
    IF(
      ABS(F22 - VLOOKUP(C22,'Valeurs Règlement Campagne'!$A$4:$V$7,13,FALSE))&lt;=2,
      VLOOKUP(C22,'Valeurs Règlement Campagne'!$A$4:$V$7,13,FALSE),
      IF(
        ABS(F22 - VLOOKUP(C22,'Valeurs Règlement Campagne'!$A$4:$V$7,14,FALSE))&lt;=2,
        VLOOKUP(C22,'Valeurs Règlement Campagne'!$A$4:$V$7,14,FALSE),
        ""
      )
    )
  ),
  ""
)</f>
        <v/>
      </c>
      <c r="AJ22" s="44" t="str">
        <f>IF(
  E22="Connues",
  IF(
    ABS(G22 - VLOOKUP(C22,'Valeurs Règlement Campagne'!$A$4:$V$7,15,FALSE))&lt;=2,
    VLOOKUP(C22,'Valeurs Règlement Campagne'!$A$4:$V$7,15,FALSE),
    IF(
      ABS(G22 - VLOOKUP(C22,'Valeurs Règlement Campagne'!$A$4:$V$7,16,FALSE))&lt;=2,
      VLOOKUP(C22,'Valeurs Règlement Campagne'!$A$4:$V$7,16,FALSE),
      IF(
        ABS(G22 - VLOOKUP(C22,'Valeurs Règlement Campagne'!$A$4:$V$7,17,FALSE))&lt;=2,
        VLOOKUP(C22,'Valeurs Règlement Campagne'!$A$4:$V$7,17,FALSE),
        ""
      )
    )
  ),
  ""
)</f>
        <v/>
      </c>
      <c r="AK22" s="44" t="str">
        <f>IF(
  E22="Connues",
  IF(
    ABS(H22 - VLOOKUP(C22,'Valeurs Règlement Campagne'!$A$4:$V$7,15,FALSE))&lt;=2,
    VLOOKUP(C22,'Valeurs Règlement Campagne'!$A$4:$V$7,15,FALSE),
    IF(
      ABS(H22 - VLOOKUP(C22,'Valeurs Règlement Campagne'!$A$4:$V$7,16,FALSE))&lt;=2,
      VLOOKUP(C22,'Valeurs Règlement Campagne'!$A$4:$V$7,16,FALSE),
      IF(
        ABS(H22 - VLOOKUP(C22,'Valeurs Règlement Campagne'!$A$4:$V$7,17,FALSE))&lt;=2,
        VLOOKUP(C22,'Valeurs Règlement Campagne'!$A$4:$V$7,17,FALSE),
        ""
      )
    )
  ),
  ""
)</f>
        <v/>
      </c>
    </row>
    <row r="23" spans="1:218" ht="20.75" customHeight="1" thickBot="1">
      <c r="A23" s="195">
        <v>18</v>
      </c>
      <c r="B23" s="191"/>
      <c r="C23" s="291"/>
      <c r="D23" s="291"/>
      <c r="E23" s="196"/>
      <c r="F23" s="188"/>
      <c r="G23" s="105"/>
      <c r="H23" s="106"/>
      <c r="I23" s="185"/>
      <c r="J23" s="202"/>
      <c r="L23" s="46" t="str">
        <f>IF($E23=0," ",IF($E23=$D$31,VLOOKUP($C23,'Valeurs Règlement Campagne'!$A$4:$AB$7,14,FALSE),VLOOKUP($C23,'Valeurs Règlement Campagne'!$A$4:$M$7,4,FALSE)))</f>
        <v xml:space="preserve"> </v>
      </c>
      <c r="M23" s="47" t="str">
        <f>IF($E23=0," ",IF($E23=$D$31,VLOOKUP($C23,'Valeurs Règlement Campagne'!$A$4:$AB$7,16,FALSE),VLOOKUP($C23,'Valeurs Règlement Campagne'!$A$4:$AB$7,5,FALSE)))</f>
        <v xml:space="preserve"> </v>
      </c>
      <c r="N23" s="46" t="str">
        <f>IF($E23=0," ",IF($E23=$D$31,VLOOKUP($C23,'Valeurs Règlement Campagne'!$A$4:$AB$7,17,FALSE),VLOOKUP($C23,'Valeurs Règlement Campagne'!$A$4:$AB$7,6,FALSE)))</f>
        <v xml:space="preserve"> </v>
      </c>
      <c r="O23" s="48" t="str">
        <f>IF($E23=0," ",IF($E23=$D$31,VLOOKUP($C23,'Valeurs Règlement Campagne'!$A$4:$AB$7,19,FALSE),VLOOKUP($C23,'Valeurs Règlement Campagne'!$A$4:$AB$7,7,FALSE)))</f>
        <v xml:space="preserve"> </v>
      </c>
      <c r="P23" s="49" t="str">
        <f>IF($E23=0," ",IF($E23=$D$31,VLOOKUP($C23,'Valeurs Règlement Campagne'!$A$4:$AB$7,20,FALSE),VLOOKUP($C23,'Valeurs Règlement Campagne'!$A$4:$AB$7,8,FALSE)))</f>
        <v xml:space="preserve"> </v>
      </c>
      <c r="Q23" s="48" t="str">
        <f>IF($E23=0," ",IF($E23=$D$31,VLOOKUP($C23,'Valeurs Règlement Campagne'!$A$4:$AB$7,22,FALSE),VLOOKUP($C23,'Valeurs Règlement Campagne'!$A$4:$AB$7,9,FALSE)))</f>
        <v xml:space="preserve"> </v>
      </c>
      <c r="R23" s="52" t="str">
        <f>IF($E23=0," ",IF($E23=$D$31,VLOOKUP($C23,'Valeurs Règlement Campagne'!$A$4:$AB$7,25,FALSE),VLOOKUP($C23,'Valeurs Règlement Campagne'!$A$4:$AB$7,11,FALSE)))</f>
        <v xml:space="preserve"> </v>
      </c>
      <c r="S23" s="46" t="str">
        <f>IF($E23=0," ",IF($E23=$D$31,VLOOKUP($C23,'Valeurs Règlement Campagne'!$A$4:$AB$7,26,FALSE),VLOOKUP($C23,'Valeurs Règlement Campagne'!$A$4:$AB$7,12,FALSE)))</f>
        <v xml:space="preserve"> </v>
      </c>
      <c r="T23" s="47" t="str">
        <f>IF($E23=0," ",IF($E23=$D$31,VLOOKUP($C23,'Valeurs Règlement Campagne'!$A$4:$AB$7,28,FALSE),VLOOKUP($C23,'Valeurs Règlement Campagne'!$A$4:$AB$7,13,FALSE)))</f>
        <v xml:space="preserve"> </v>
      </c>
      <c r="U23" s="53" t="str" cm="1">
        <f t="array" ref="U23">IF(C23=0," ",IF(AND(E23="Connues",AH23&lt;&gt;"",COUNTIFS(AH$6:AH$29,AH23,C$6:C$29,C23)&gt;1),"Doublon",IF(AND(E23="Connues",SUMPRODUCT((E$6:E$29="Connues")*(C$6:C$29=C23)*(ROW($6:$29)&lt;&gt;ROW())*(ABS(F$6:F$29-F23)&lt;=2)*((ABS(F$6:F$29-VLOOKUP(C23,'Valeurs Règlement Campagne'!$A$4:$AB$7,14,FALSE))&lt;=2)+(ABS(F$6:F$29-VLOOKUP(C23,'Valeurs Règlement Campagne'!$A$4:$AB$7,15,FALSE))&lt;=2)+(ABS(F$6:F$29-VLOOKUP(C23,'Valeurs Règlement Campagne'!$A$4:$AB$7,16,FALSE))&lt;=2)))&gt;0),"Doublon",IF($C23=0," ",IF(F23=0," ",IF(E23="Inconnues",AND(F23&gt;=L23,F23&lt;=M23),IF(AND('Valeurs Règlement Campagne'!$L$14="OUI",E23="Connues"),AND(F23&gt;=L23-2,F23&lt;=M23+2),OR(F23=L23,F23=L23+5,F23=M23))))))))</f>
        <v xml:space="preserve"> </v>
      </c>
      <c r="V23" s="54" t="str" cm="1">
        <f t="array" ref="V23">IF(C23=0," ",IF(AND(E23="Connues",AH23&lt;&gt;"",COUNTIFS(AH$6:AH$29,AH23,C$6:C$29,C23)&gt;1),"Doublon",IF(AND(E23="Connues",SUMPRODUCT((E$6:E$29="Connues")*(C$6:C$29=C23)*(ROW($6:$29)&lt;&gt;ROW())*(ABS(G$6:G$29-G23)&lt;=2)*((ABS(G$6:G$29-VLOOKUP(C23,'Valeurs Règlement Campagne'!$A$4:$AB$7,17,FALSE))&lt;=2)+(ABS(G$6:G$29-VLOOKUP(C23,'Valeurs Règlement Campagne'!$A$4:$AB$7,18,FALSE))&lt;=2)+(ABS(G$6:G$29-VLOOKUP(C23,'Valeurs Règlement Campagne'!$A$4:$AB$7,19,FALSE))&lt;=2)))&gt;0),"Doublon",IF($C23=0," ",IF(G23=0," ",IF(E23="Inconnues",AND(G23&gt;=N23,G23&lt;=O23),IF(AND('Valeurs Règlement Campagne'!$L$14="OUI",E23="Connues"),AND(G23&gt;=N23-2,G23&lt;=O23+2),OR(G23=N23,G23=N23+5,G23=O23))))))))</f>
        <v xml:space="preserve"> </v>
      </c>
      <c r="W23" s="54" t="str" cm="1">
        <f t="array" ref="W23">IF(C23=0," ",IF(AND(E23="Connues",AE23&lt;&gt;"",COUNTIFS(AE$6:AE$29,AE23,C$6:C$29,C23)&gt;1),"Doublon",IF(AND(E23="Connues",SUMPRODUCT((E$6:E$29="Connues")*(C$6:C$29=C23)*(ROW($6:$29)&lt;&gt;ROW())*(ABS(H$6:H$29-H23)&lt;=2)*((ABS(H$6:H$29-VLOOKUP(C23,'Valeurs Règlement Campagne'!$A$4:$AB$7,20,FALSE))&lt;=2)+(ABS(H$6:H$29-VLOOKUP(C23,'Valeurs Règlement Campagne'!$A$4:$AB$7,21,FALSE))&lt;=2)+(ABS(H$6:H$29-VLOOKUP(C23,'Valeurs Règlement Campagne'!$A$4:$AB$7,22,FALSE))&lt;=2)))&gt;0),"Doublon",IF($C23=0," ",IF(H23=0," ",IF(E23="Inconnues",AND(H23&gt;=P23,H23&lt;=Q23),IF(AND('Valeurs Règlement Campagne'!$L$14="OUI",E23="Connues"),AND(H23&gt;=P23-2,H23&lt;=Q23+2),OR(H23=P23,H23=P23+5,H23=P23))))))))</f>
        <v xml:space="preserve"> </v>
      </c>
      <c r="X23" s="54" t="str" cm="1">
        <f t="array" ref="X23">IF(C23=0," ",IF(AND(E23="Connues",AH23&lt;&gt;"",COUNTIFS(AH$6:AH$29,AH23,C$6:C$29,C23)&gt;1),"Doublon",IF(AND(E23="Connues",SUMPRODUCT((E$6:E$29="Connues")*(C$6:C$29=C23)*(ROW($6:$29)&lt;&gt;ROW())*(ABS(I$6:I$29-I23)&lt;=2)*((ABS(I$6:I$29-VLOOKUP(C23,'Valeurs Règlement Campagne'!$A$4:$AB$7,23,FALSE))&lt;=2)+(ABS(I$6:I$29-VLOOKUP(C23,'Valeurs Règlement Campagne'!$A$4:$AB$7,24,FALSE))&lt;=2)+(ABS(I$6:I$29-VLOOKUP(C23,'Valeurs Règlement Campagne'!$A$4:$AB$7,25,FALSE))&lt;=2)))&gt;0),"Doublon",IF($C23=0," ",IF(I23=0," ",IF(E23="Inconnues",AND(I23&gt;=P23,I23&lt;=R23),IF(AND('Valeurs Règlement Campagne'!$L$14="OUI",E23="Connues"),AND(I23&gt;=P23-2,I23&lt;=R23+2),OR(I23=P23,I23=P23+5,I23=P23))))))))</f>
        <v xml:space="preserve"> </v>
      </c>
      <c r="Y23" s="218" t="str" cm="1">
        <f t="array" ref="Y23">IF(C23=0," ",IF(AND(E23="Connues",AH23&lt;&gt;"",COUNTIFS(AH$6:AH$29,AH23,C$6:C$29,C23)&gt;1),"Doublon",IF(AND(E23="Connues",SUMPRODUCT((E$6:E$29="Connues")*(C$6:C$29=C23)*(ROW($6:$29)&lt;&gt;ROW())*(ABS(J$6:J$29-J23)&lt;=2)*((ABS(J$6:J$29-VLOOKUP(C23,'Valeurs Règlement Campagne'!$A$4:$AB$7,26,FALSE))&lt;=2)+(ABS(J$6:J$29-VLOOKUP(C23,'Valeurs Règlement Campagne'!$A$4:$AB$7,27,FALSE))&lt;=2)+(ABS(J$6:J$29-VLOOKUP(C23,'Valeurs Règlement Campagne'!$A$4:$AB$7,28,FALSE))&lt;=2)))&gt;0),"Doublon",IF($C23=0," ",IF(J23=0," ",IF(E23="Inconnues",AND(J23&gt;=S23,J23&lt;=T23),IF(AND('Valeurs Règlement Campagne'!$L$14="OUI",E23="Connues"),AND(J23&gt;=S23-2,J23&lt;=T23+2),OR(J23=S23,J23=S23+5,J23=S23))))))))</f>
        <v xml:space="preserve"> </v>
      </c>
      <c r="Z23" s="235" t="str">
        <f t="shared" si="3"/>
        <v xml:space="preserve"> </v>
      </c>
      <c r="AA23" s="233"/>
      <c r="AB23" s="233" t="str">
        <f t="shared" si="0"/>
        <v xml:space="preserve"> </v>
      </c>
      <c r="AC23" s="233"/>
      <c r="AD23" s="233" t="str">
        <f t="shared" si="1"/>
        <v xml:space="preserve"> </v>
      </c>
      <c r="AE23" s="233"/>
      <c r="AF23" s="233" t="str">
        <f t="shared" si="4"/>
        <v xml:space="preserve"> </v>
      </c>
      <c r="AG23" s="234"/>
      <c r="AH23" s="55" t="str">
        <f t="shared" si="2"/>
        <v/>
      </c>
      <c r="AI23" s="44" t="str">
        <f>IF(
  E23="Connues",
  IF(
    ABS(F23 - VLOOKUP(C23,'Valeurs Règlement Campagne'!$A$4:$V$7,12,FALSE))&lt;=2,
    VLOOKUP(C23,'Valeurs Règlement Campagne'!$A$4:$V$7,12,FALSE),
    IF(
      ABS(F23 - VLOOKUP(C23,'Valeurs Règlement Campagne'!$A$4:$V$7,13,FALSE))&lt;=2,
      VLOOKUP(C23,'Valeurs Règlement Campagne'!$A$4:$V$7,13,FALSE),
      IF(
        ABS(F23 - VLOOKUP(C23,'Valeurs Règlement Campagne'!$A$4:$V$7,14,FALSE))&lt;=2,
        VLOOKUP(C23,'Valeurs Règlement Campagne'!$A$4:$V$7,14,FALSE),
        ""
      )
    )
  ),
  ""
)</f>
        <v/>
      </c>
      <c r="AJ23" s="44" t="str">
        <f>IF(
  E23="Connues",
  IF(
    ABS(G23 - VLOOKUP(C23,'Valeurs Règlement Campagne'!$A$4:$V$7,15,FALSE))&lt;=2,
    VLOOKUP(C23,'Valeurs Règlement Campagne'!$A$4:$V$7,15,FALSE),
    IF(
      ABS(G23 - VLOOKUP(C23,'Valeurs Règlement Campagne'!$A$4:$V$7,16,FALSE))&lt;=2,
      VLOOKUP(C23,'Valeurs Règlement Campagne'!$A$4:$V$7,16,FALSE),
      IF(
        ABS(G23 - VLOOKUP(C23,'Valeurs Règlement Campagne'!$A$4:$V$7,17,FALSE))&lt;=2,
        VLOOKUP(C23,'Valeurs Règlement Campagne'!$A$4:$V$7,17,FALSE),
        ""
      )
    )
  ),
  ""
)</f>
        <v/>
      </c>
      <c r="AK23" s="44" t="str">
        <f>IF(
  E23="Connues",
  IF(
    ABS(H23 - VLOOKUP(C23,'Valeurs Règlement Campagne'!$A$4:$V$7,15,FALSE))&lt;=2,
    VLOOKUP(C23,'Valeurs Règlement Campagne'!$A$4:$V$7,15,FALSE),
    IF(
      ABS(H23 - VLOOKUP(C23,'Valeurs Règlement Campagne'!$A$4:$V$7,16,FALSE))&lt;=2,
      VLOOKUP(C23,'Valeurs Règlement Campagne'!$A$4:$V$7,16,FALSE),
      IF(
        ABS(H23 - VLOOKUP(C23,'Valeurs Règlement Campagne'!$A$4:$V$7,17,FALSE))&lt;=2,
        VLOOKUP(C23,'Valeurs Règlement Campagne'!$A$4:$V$7,17,FALSE),
        ""
      )
    )
  ),
  ""
)</f>
        <v/>
      </c>
    </row>
    <row r="24" spans="1:218" ht="20.75" customHeight="1" thickBot="1">
      <c r="A24" s="195">
        <v>19</v>
      </c>
      <c r="B24" s="191"/>
      <c r="C24" s="291"/>
      <c r="D24" s="291"/>
      <c r="E24" s="196"/>
      <c r="F24" s="188"/>
      <c r="G24" s="105"/>
      <c r="H24" s="106"/>
      <c r="I24" s="185"/>
      <c r="J24" s="202"/>
      <c r="L24" s="46" t="str">
        <f>IF($E24=0," ",IF($E24=$D$31,VLOOKUP($C24,'Valeurs Règlement Campagne'!$A$4:$AB$7,14,FALSE),VLOOKUP($C24,'Valeurs Règlement Campagne'!$A$4:$M$7,4,FALSE)))</f>
        <v xml:space="preserve"> </v>
      </c>
      <c r="M24" s="47" t="str">
        <f>IF($E24=0," ",IF($E24=$D$31,VLOOKUP($C24,'Valeurs Règlement Campagne'!$A$4:$AB$7,16,FALSE),VLOOKUP($C24,'Valeurs Règlement Campagne'!$A$4:$AB$7,5,FALSE)))</f>
        <v xml:space="preserve"> </v>
      </c>
      <c r="N24" s="46" t="str">
        <f>IF($E24=0," ",IF($E24=$D$31,VLOOKUP($C24,'Valeurs Règlement Campagne'!$A$4:$AB$7,17,FALSE),VLOOKUP($C24,'Valeurs Règlement Campagne'!$A$4:$AB$7,6,FALSE)))</f>
        <v xml:space="preserve"> </v>
      </c>
      <c r="O24" s="48" t="str">
        <f>IF($E24=0," ",IF($E24=$D$31,VLOOKUP($C24,'Valeurs Règlement Campagne'!$A$4:$AB$7,19,FALSE),VLOOKUP($C24,'Valeurs Règlement Campagne'!$A$4:$AB$7,7,FALSE)))</f>
        <v xml:space="preserve"> </v>
      </c>
      <c r="P24" s="49" t="str">
        <f>IF($E24=0," ",IF($E24=$D$31,VLOOKUP($C24,'Valeurs Règlement Campagne'!$A$4:$AB$7,20,FALSE),VLOOKUP($C24,'Valeurs Règlement Campagne'!$A$4:$AB$7,8,FALSE)))</f>
        <v xml:space="preserve"> </v>
      </c>
      <c r="Q24" s="48" t="str">
        <f>IF($E24=0," ",IF($E24=$D$31,VLOOKUP($C24,'Valeurs Règlement Campagne'!$A$4:$AB$7,22,FALSE),VLOOKUP($C24,'Valeurs Règlement Campagne'!$A$4:$AB$7,9,FALSE)))</f>
        <v xml:space="preserve"> </v>
      </c>
      <c r="R24" s="52" t="str">
        <f>IF($E24=0," ",IF($E24=$D$31,VLOOKUP($C24,'Valeurs Règlement Campagne'!$A$4:$AB$7,25,FALSE),VLOOKUP($C24,'Valeurs Règlement Campagne'!$A$4:$AB$7,11,FALSE)))</f>
        <v xml:space="preserve"> </v>
      </c>
      <c r="S24" s="46" t="str">
        <f>IF($E24=0," ",IF($E24=$D$31,VLOOKUP($C24,'Valeurs Règlement Campagne'!$A$4:$AB$7,26,FALSE),VLOOKUP($C24,'Valeurs Règlement Campagne'!$A$4:$AB$7,12,FALSE)))</f>
        <v xml:space="preserve"> </v>
      </c>
      <c r="T24" s="47" t="str">
        <f>IF($E24=0," ",IF($E24=$D$31,VLOOKUP($C24,'Valeurs Règlement Campagne'!$A$4:$AB$7,28,FALSE),VLOOKUP($C24,'Valeurs Règlement Campagne'!$A$4:$AB$7,13,FALSE)))</f>
        <v xml:space="preserve"> </v>
      </c>
      <c r="U24" s="53" t="str" cm="1">
        <f t="array" ref="U24">IF(C24=0," ",IF(AND(E24="Connues",AH24&lt;&gt;"",COUNTIFS(AH$6:AH$29,AH24,C$6:C$29,C24)&gt;1),"Doublon",IF(AND(E24="Connues",SUMPRODUCT((E$6:E$29="Connues")*(C$6:C$29=C24)*(ROW($6:$29)&lt;&gt;ROW())*(ABS(F$6:F$29-F24)&lt;=2)*((ABS(F$6:F$29-VLOOKUP(C24,'Valeurs Règlement Campagne'!$A$4:$AB$7,14,FALSE))&lt;=2)+(ABS(F$6:F$29-VLOOKUP(C24,'Valeurs Règlement Campagne'!$A$4:$AB$7,15,FALSE))&lt;=2)+(ABS(F$6:F$29-VLOOKUP(C24,'Valeurs Règlement Campagne'!$A$4:$AB$7,16,FALSE))&lt;=2)))&gt;0),"Doublon",IF($C24=0," ",IF(F24=0," ",IF(E24="Inconnues",AND(F24&gt;=L24,F24&lt;=M24),IF(AND('Valeurs Règlement Campagne'!$L$14="OUI",E24="Connues"),AND(F24&gt;=L24-2,F24&lt;=M24+2),OR(F24=L24,F24=L24+5,F24=M24))))))))</f>
        <v xml:space="preserve"> </v>
      </c>
      <c r="V24" s="54" t="str" cm="1">
        <f t="array" ref="V24">IF(C24=0," ",IF(AND(E24="Connues",AH24&lt;&gt;"",COUNTIFS(AH$6:AH$29,AH24,C$6:C$29,C24)&gt;1),"Doublon",IF(AND(E24="Connues",SUMPRODUCT((E$6:E$29="Connues")*(C$6:C$29=C24)*(ROW($6:$29)&lt;&gt;ROW())*(ABS(G$6:G$29-G24)&lt;=2)*((ABS(G$6:G$29-VLOOKUP(C24,'Valeurs Règlement Campagne'!$A$4:$AB$7,17,FALSE))&lt;=2)+(ABS(G$6:G$29-VLOOKUP(C24,'Valeurs Règlement Campagne'!$A$4:$AB$7,18,FALSE))&lt;=2)+(ABS(G$6:G$29-VLOOKUP(C24,'Valeurs Règlement Campagne'!$A$4:$AB$7,19,FALSE))&lt;=2)))&gt;0),"Doublon",IF($C24=0," ",IF(G24=0," ",IF(E24="Inconnues",AND(G24&gt;=N24,G24&lt;=O24),IF(AND('Valeurs Règlement Campagne'!$L$14="OUI",E24="Connues"),AND(G24&gt;=N24-2,G24&lt;=O24+2),OR(G24=N24,G24=N24+5,G24=O24))))))))</f>
        <v xml:space="preserve"> </v>
      </c>
      <c r="W24" s="54" t="str" cm="1">
        <f t="array" ref="W24">IF(C24=0," ",IF(AND(E24="Connues",AE24&lt;&gt;"",COUNTIFS(AE$6:AE$29,AE24,C$6:C$29,C24)&gt;1),"Doublon",IF(AND(E24="Connues",SUMPRODUCT((E$6:E$29="Connues")*(C$6:C$29=C24)*(ROW($6:$29)&lt;&gt;ROW())*(ABS(H$6:H$29-H24)&lt;=2)*((ABS(H$6:H$29-VLOOKUP(C24,'Valeurs Règlement Campagne'!$A$4:$AB$7,20,FALSE))&lt;=2)+(ABS(H$6:H$29-VLOOKUP(C24,'Valeurs Règlement Campagne'!$A$4:$AB$7,21,FALSE))&lt;=2)+(ABS(H$6:H$29-VLOOKUP(C24,'Valeurs Règlement Campagne'!$A$4:$AB$7,22,FALSE))&lt;=2)))&gt;0),"Doublon",IF($C24=0," ",IF(H24=0," ",IF(E24="Inconnues",AND(H24&gt;=P24,H24&lt;=Q24),IF(AND('Valeurs Règlement Campagne'!$L$14="OUI",E24="Connues"),AND(H24&gt;=P24-2,H24&lt;=Q24+2),OR(H24=P24,H24=P24+5,H24=P24))))))))</f>
        <v xml:space="preserve"> </v>
      </c>
      <c r="X24" s="54" t="str" cm="1">
        <f t="array" ref="X24">IF(C24=0," ",IF(AND(E24="Connues",AH24&lt;&gt;"",COUNTIFS(AH$6:AH$29,AH24,C$6:C$29,C24)&gt;1),"Doublon",IF(AND(E24="Connues",SUMPRODUCT((E$6:E$29="Connues")*(C$6:C$29=C24)*(ROW($6:$29)&lt;&gt;ROW())*(ABS(I$6:I$29-I24)&lt;=2)*((ABS(I$6:I$29-VLOOKUP(C24,'Valeurs Règlement Campagne'!$A$4:$AB$7,23,FALSE))&lt;=2)+(ABS(I$6:I$29-VLOOKUP(C24,'Valeurs Règlement Campagne'!$A$4:$AB$7,24,FALSE))&lt;=2)+(ABS(I$6:I$29-VLOOKUP(C24,'Valeurs Règlement Campagne'!$A$4:$AB$7,25,FALSE))&lt;=2)))&gt;0),"Doublon",IF($C24=0," ",IF(I24=0," ",IF(E24="Inconnues",AND(I24&gt;=P24,I24&lt;=R24),IF(AND('Valeurs Règlement Campagne'!$L$14="OUI",E24="Connues"),AND(I24&gt;=P24-2,I24&lt;=R24+2),OR(I24=P24,I24=P24+5,I24=P24))))))))</f>
        <v xml:space="preserve"> </v>
      </c>
      <c r="Y24" s="218" t="str" cm="1">
        <f t="array" ref="Y24">IF(C24=0," ",IF(AND(E24="Connues",AH24&lt;&gt;"",COUNTIFS(AH$6:AH$29,AH24,C$6:C$29,C24)&gt;1),"Doublon",IF(AND(E24="Connues",SUMPRODUCT((E$6:E$29="Connues")*(C$6:C$29=C24)*(ROW($6:$29)&lt;&gt;ROW())*(ABS(J$6:J$29-J24)&lt;=2)*((ABS(J$6:J$29-VLOOKUP(C24,'Valeurs Règlement Campagne'!$A$4:$AB$7,26,FALSE))&lt;=2)+(ABS(J$6:J$29-VLOOKUP(C24,'Valeurs Règlement Campagne'!$A$4:$AB$7,27,FALSE))&lt;=2)+(ABS(J$6:J$29-VLOOKUP(C24,'Valeurs Règlement Campagne'!$A$4:$AB$7,28,FALSE))&lt;=2)))&gt;0),"Doublon",IF($C24=0," ",IF(J24=0," ",IF(E24="Inconnues",AND(J24&gt;=S24,J24&lt;=T24),IF(AND('Valeurs Règlement Campagne'!$L$14="OUI",E24="Connues"),AND(J24&gt;=S24-2,J24&lt;=T24+2),OR(J24=S24,J24=S24+5,J24=S24))))))))</f>
        <v xml:space="preserve"> </v>
      </c>
      <c r="Z24" s="235" t="str">
        <f t="shared" si="3"/>
        <v xml:space="preserve"> </v>
      </c>
      <c r="AA24" s="233"/>
      <c r="AB24" s="233" t="str">
        <f t="shared" si="0"/>
        <v xml:space="preserve"> </v>
      </c>
      <c r="AC24" s="233"/>
      <c r="AD24" s="233" t="str">
        <f t="shared" si="1"/>
        <v xml:space="preserve"> </v>
      </c>
      <c r="AE24" s="233"/>
      <c r="AF24" s="233" t="str">
        <f t="shared" si="4"/>
        <v xml:space="preserve"> </v>
      </c>
      <c r="AG24" s="234"/>
      <c r="AH24" s="55" t="str">
        <f t="shared" si="2"/>
        <v/>
      </c>
      <c r="AI24" s="44" t="str">
        <f>IF(
  E24="Connues",
  IF(
    ABS(F24 - VLOOKUP(C24,'Valeurs Règlement Campagne'!$A$4:$V$7,12,FALSE))&lt;=2,
    VLOOKUP(C24,'Valeurs Règlement Campagne'!$A$4:$V$7,12,FALSE),
    IF(
      ABS(F24 - VLOOKUP(C24,'Valeurs Règlement Campagne'!$A$4:$V$7,13,FALSE))&lt;=2,
      VLOOKUP(C24,'Valeurs Règlement Campagne'!$A$4:$V$7,13,FALSE),
      IF(
        ABS(F24 - VLOOKUP(C24,'Valeurs Règlement Campagne'!$A$4:$V$7,14,FALSE))&lt;=2,
        VLOOKUP(C24,'Valeurs Règlement Campagne'!$A$4:$V$7,14,FALSE),
        ""
      )
    )
  ),
  ""
)</f>
        <v/>
      </c>
      <c r="AJ24" s="44" t="str">
        <f>IF(
  E24="Connues",
  IF(
    ABS(G24 - VLOOKUP(C24,'Valeurs Règlement Campagne'!$A$4:$V$7,15,FALSE))&lt;=2,
    VLOOKUP(C24,'Valeurs Règlement Campagne'!$A$4:$V$7,15,FALSE),
    IF(
      ABS(G24 - VLOOKUP(C24,'Valeurs Règlement Campagne'!$A$4:$V$7,16,FALSE))&lt;=2,
      VLOOKUP(C24,'Valeurs Règlement Campagne'!$A$4:$V$7,16,FALSE),
      IF(
        ABS(G24 - VLOOKUP(C24,'Valeurs Règlement Campagne'!$A$4:$V$7,17,FALSE))&lt;=2,
        VLOOKUP(C24,'Valeurs Règlement Campagne'!$A$4:$V$7,17,FALSE),
        ""
      )
    )
  ),
  ""
)</f>
        <v/>
      </c>
      <c r="AK24" s="44" t="str">
        <f>IF(
  E24="Connues",
  IF(
    ABS(H24 - VLOOKUP(C24,'Valeurs Règlement Campagne'!$A$4:$V$7,15,FALSE))&lt;=2,
    VLOOKUP(C24,'Valeurs Règlement Campagne'!$A$4:$V$7,15,FALSE),
    IF(
      ABS(H24 - VLOOKUP(C24,'Valeurs Règlement Campagne'!$A$4:$V$7,16,FALSE))&lt;=2,
      VLOOKUP(C24,'Valeurs Règlement Campagne'!$A$4:$V$7,16,FALSE),
      IF(
        ABS(H24 - VLOOKUP(C24,'Valeurs Règlement Campagne'!$A$4:$V$7,17,FALSE))&lt;=2,
        VLOOKUP(C24,'Valeurs Règlement Campagne'!$A$4:$V$7,17,FALSE),
        ""
      )
    )
  ),
  ""
)</f>
        <v/>
      </c>
    </row>
    <row r="25" spans="1:218" ht="20.75" customHeight="1" thickBot="1">
      <c r="A25" s="195">
        <v>20</v>
      </c>
      <c r="B25" s="191"/>
      <c r="C25" s="291"/>
      <c r="D25" s="291"/>
      <c r="E25" s="196"/>
      <c r="F25" s="188"/>
      <c r="G25" s="105"/>
      <c r="H25" s="106"/>
      <c r="I25" s="185"/>
      <c r="J25" s="202"/>
      <c r="L25" s="46" t="str">
        <f>IF($E25=0," ",IF($E25=$D$31,VLOOKUP($C25,'Valeurs Règlement Campagne'!$A$4:$AB$7,14,FALSE),VLOOKUP($C25,'Valeurs Règlement Campagne'!$A$4:$M$7,4,FALSE)))</f>
        <v xml:space="preserve"> </v>
      </c>
      <c r="M25" s="47" t="str">
        <f>IF($E25=0," ",IF($E25=$D$31,VLOOKUP($C25,'Valeurs Règlement Campagne'!$A$4:$AB$7,16,FALSE),VLOOKUP($C25,'Valeurs Règlement Campagne'!$A$4:$AB$7,5,FALSE)))</f>
        <v xml:space="preserve"> </v>
      </c>
      <c r="N25" s="46" t="str">
        <f>IF($E25=0," ",IF($E25=$D$31,VLOOKUP($C25,'Valeurs Règlement Campagne'!$A$4:$AB$7,17,FALSE),VLOOKUP($C25,'Valeurs Règlement Campagne'!$A$4:$AB$7,6,FALSE)))</f>
        <v xml:space="preserve"> </v>
      </c>
      <c r="O25" s="48" t="str">
        <f>IF($E25=0," ",IF($E25=$D$31,VLOOKUP($C25,'Valeurs Règlement Campagne'!$A$4:$AB$7,19,FALSE),VLOOKUP($C25,'Valeurs Règlement Campagne'!$A$4:$AB$7,7,FALSE)))</f>
        <v xml:space="preserve"> </v>
      </c>
      <c r="P25" s="49" t="str">
        <f>IF($E25=0," ",IF($E25=$D$31,VLOOKUP($C25,'Valeurs Règlement Campagne'!$A$4:$AB$7,20,FALSE),VLOOKUP($C25,'Valeurs Règlement Campagne'!$A$4:$AB$7,8,FALSE)))</f>
        <v xml:space="preserve"> </v>
      </c>
      <c r="Q25" s="48" t="str">
        <f>IF($E25=0," ",IF($E25=$D$31,VLOOKUP($C25,'Valeurs Règlement Campagne'!$A$4:$AB$7,22,FALSE),VLOOKUP($C25,'Valeurs Règlement Campagne'!$A$4:$AB$7,9,FALSE)))</f>
        <v xml:space="preserve"> </v>
      </c>
      <c r="R25" s="52" t="str">
        <f>IF($E25=0," ",IF($E25=$D$31,VLOOKUP($C25,'Valeurs Règlement Campagne'!$A$4:$AB$7,25,FALSE),VLOOKUP($C25,'Valeurs Règlement Campagne'!$A$4:$AB$7,11,FALSE)))</f>
        <v xml:space="preserve"> </v>
      </c>
      <c r="S25" s="46" t="str">
        <f>IF($E25=0," ",IF($E25=$D$31,VLOOKUP($C25,'Valeurs Règlement Campagne'!$A$4:$AB$7,26,FALSE),VLOOKUP($C25,'Valeurs Règlement Campagne'!$A$4:$AB$7,12,FALSE)))</f>
        <v xml:space="preserve"> </v>
      </c>
      <c r="T25" s="47" t="str">
        <f>IF($E25=0," ",IF($E25=$D$31,VLOOKUP($C25,'Valeurs Règlement Campagne'!$A$4:$AB$7,28,FALSE),VLOOKUP($C25,'Valeurs Règlement Campagne'!$A$4:$AB$7,13,FALSE)))</f>
        <v xml:space="preserve"> </v>
      </c>
      <c r="U25" s="53" t="str" cm="1">
        <f t="array" ref="U25">IF(C25=0," ",IF(AND(E25="Connues",AH25&lt;&gt;"",COUNTIFS(AH$6:AH$29,AH25,C$6:C$29,C25)&gt;1),"Doublon",IF(AND(E25="Connues",SUMPRODUCT((E$6:E$29="Connues")*(C$6:C$29=C25)*(ROW($6:$29)&lt;&gt;ROW())*(ABS(F$6:F$29-F25)&lt;=2)*((ABS(F$6:F$29-VLOOKUP(C25,'Valeurs Règlement Campagne'!$A$4:$AB$7,14,FALSE))&lt;=2)+(ABS(F$6:F$29-VLOOKUP(C25,'Valeurs Règlement Campagne'!$A$4:$AB$7,15,FALSE))&lt;=2)+(ABS(F$6:F$29-VLOOKUP(C25,'Valeurs Règlement Campagne'!$A$4:$AB$7,16,FALSE))&lt;=2)))&gt;0),"Doublon",IF($C25=0," ",IF(F25=0," ",IF(E25="Inconnues",AND(F25&gt;=L25,F25&lt;=M25),IF(AND('Valeurs Règlement Campagne'!$L$14="OUI",E25="Connues"),AND(F25&gt;=L25-2,F25&lt;=M25+2),OR(F25=L25,F25=L25+5,F25=M25))))))))</f>
        <v xml:space="preserve"> </v>
      </c>
      <c r="V25" s="54" t="str" cm="1">
        <f t="array" ref="V25">IF(C25=0," ",IF(AND(E25="Connues",AH25&lt;&gt;"",COUNTIFS(AH$6:AH$29,AH25,C$6:C$29,C25)&gt;1),"Doublon",IF(AND(E25="Connues",SUMPRODUCT((E$6:E$29="Connues")*(C$6:C$29=C25)*(ROW($6:$29)&lt;&gt;ROW())*(ABS(G$6:G$29-G25)&lt;=2)*((ABS(G$6:G$29-VLOOKUP(C25,'Valeurs Règlement Campagne'!$A$4:$AB$7,17,FALSE))&lt;=2)+(ABS(G$6:G$29-VLOOKUP(C25,'Valeurs Règlement Campagne'!$A$4:$AB$7,18,FALSE))&lt;=2)+(ABS(G$6:G$29-VLOOKUP(C25,'Valeurs Règlement Campagne'!$A$4:$AB$7,19,FALSE))&lt;=2)))&gt;0),"Doublon",IF($C25=0," ",IF(G25=0," ",IF(E25="Inconnues",AND(G25&gt;=N25,G25&lt;=O25),IF(AND('Valeurs Règlement Campagne'!$L$14="OUI",E25="Connues"),AND(G25&gt;=N25-2,G25&lt;=O25+2),OR(G25=N25,G25=N25+5,G25=O25))))))))</f>
        <v xml:space="preserve"> </v>
      </c>
      <c r="W25" s="54" t="str" cm="1">
        <f t="array" ref="W25">IF(C25=0," ",IF(AND(E25="Connues",AE25&lt;&gt;"",COUNTIFS(AE$6:AE$29,AE25,C$6:C$29,C25)&gt;1),"Doublon",IF(AND(E25="Connues",SUMPRODUCT((E$6:E$29="Connues")*(C$6:C$29=C25)*(ROW($6:$29)&lt;&gt;ROW())*(ABS(H$6:H$29-H25)&lt;=2)*((ABS(H$6:H$29-VLOOKUP(C25,'Valeurs Règlement Campagne'!$A$4:$AB$7,20,FALSE))&lt;=2)+(ABS(H$6:H$29-VLOOKUP(C25,'Valeurs Règlement Campagne'!$A$4:$AB$7,21,FALSE))&lt;=2)+(ABS(H$6:H$29-VLOOKUP(C25,'Valeurs Règlement Campagne'!$A$4:$AB$7,22,FALSE))&lt;=2)))&gt;0),"Doublon",IF($C25=0," ",IF(H25=0," ",IF(E25="Inconnues",AND(H25&gt;=P25,H25&lt;=Q25),IF(AND('Valeurs Règlement Campagne'!$L$14="OUI",E25="Connues"),AND(H25&gt;=P25-2,H25&lt;=Q25+2),OR(H25=P25,H25=P25+5,H25=P25))))))))</f>
        <v xml:space="preserve"> </v>
      </c>
      <c r="X25" s="54" t="str" cm="1">
        <f t="array" ref="X25">IF(C25=0," ",IF(AND(E25="Connues",AH25&lt;&gt;"",COUNTIFS(AH$6:AH$29,AH25,C$6:C$29,C25)&gt;1),"Doublon",IF(AND(E25="Connues",SUMPRODUCT((E$6:E$29="Connues")*(C$6:C$29=C25)*(ROW($6:$29)&lt;&gt;ROW())*(ABS(I$6:I$29-I25)&lt;=2)*((ABS(I$6:I$29-VLOOKUP(C25,'Valeurs Règlement Campagne'!$A$4:$AB$7,23,FALSE))&lt;=2)+(ABS(I$6:I$29-VLOOKUP(C25,'Valeurs Règlement Campagne'!$A$4:$AB$7,24,FALSE))&lt;=2)+(ABS(I$6:I$29-VLOOKUP(C25,'Valeurs Règlement Campagne'!$A$4:$AB$7,25,FALSE))&lt;=2)))&gt;0),"Doublon",IF($C25=0," ",IF(I25=0," ",IF(E25="Inconnues",AND(I25&gt;=P25,I25&lt;=R25),IF(AND('Valeurs Règlement Campagne'!$L$14="OUI",E25="Connues"),AND(I25&gt;=P25-2,I25&lt;=R25+2),OR(I25=P25,I25=P25+5,I25=P25))))))))</f>
        <v xml:space="preserve"> </v>
      </c>
      <c r="Y25" s="218" t="str" cm="1">
        <f t="array" ref="Y25">IF(C25=0," ",IF(AND(E25="Connues",AH25&lt;&gt;"",COUNTIFS(AH$6:AH$29,AH25,C$6:C$29,C25)&gt;1),"Doublon",IF(AND(E25="Connues",SUMPRODUCT((E$6:E$29="Connues")*(C$6:C$29=C25)*(ROW($6:$29)&lt;&gt;ROW())*(ABS(J$6:J$29-J25)&lt;=2)*((ABS(J$6:J$29-VLOOKUP(C25,'Valeurs Règlement Campagne'!$A$4:$AB$7,26,FALSE))&lt;=2)+(ABS(J$6:J$29-VLOOKUP(C25,'Valeurs Règlement Campagne'!$A$4:$AB$7,27,FALSE))&lt;=2)+(ABS(J$6:J$29-VLOOKUP(C25,'Valeurs Règlement Campagne'!$A$4:$AB$7,28,FALSE))&lt;=2)))&gt;0),"Doublon",IF($C25=0," ",IF(J25=0," ",IF(E25="Inconnues",AND(J25&gt;=S25,J25&lt;=T25),IF(AND('Valeurs Règlement Campagne'!$L$14="OUI",E25="Connues"),AND(J25&gt;=S25-2,J25&lt;=T25+2),OR(J25=S25,J25=S25+5,J25=S25))))))))</f>
        <v xml:space="preserve"> </v>
      </c>
      <c r="Z25" s="235" t="str">
        <f t="shared" si="3"/>
        <v xml:space="preserve"> </v>
      </c>
      <c r="AA25" s="233"/>
      <c r="AB25" s="233" t="str">
        <f t="shared" si="0"/>
        <v xml:space="preserve"> </v>
      </c>
      <c r="AC25" s="233"/>
      <c r="AD25" s="233" t="str">
        <f t="shared" si="1"/>
        <v xml:space="preserve"> </v>
      </c>
      <c r="AE25" s="233"/>
      <c r="AF25" s="233" t="str">
        <f t="shared" si="4"/>
        <v xml:space="preserve"> </v>
      </c>
      <c r="AG25" s="234"/>
      <c r="AH25" s="55" t="str">
        <f t="shared" si="2"/>
        <v/>
      </c>
      <c r="AI25" s="44" t="str">
        <f>IF(
  E25="Connues",
  IF(
    ABS(F25 - VLOOKUP(C25,'Valeurs Règlement Campagne'!$A$4:$V$7,12,FALSE))&lt;=2,
    VLOOKUP(C25,'Valeurs Règlement Campagne'!$A$4:$V$7,12,FALSE),
    IF(
      ABS(F25 - VLOOKUP(C25,'Valeurs Règlement Campagne'!$A$4:$V$7,13,FALSE))&lt;=2,
      VLOOKUP(C25,'Valeurs Règlement Campagne'!$A$4:$V$7,13,FALSE),
      IF(
        ABS(F25 - VLOOKUP(C25,'Valeurs Règlement Campagne'!$A$4:$V$7,14,FALSE))&lt;=2,
        VLOOKUP(C25,'Valeurs Règlement Campagne'!$A$4:$V$7,14,FALSE),
        ""
      )
    )
  ),
  ""
)</f>
        <v/>
      </c>
      <c r="AJ25" s="44" t="str">
        <f>IF(
  E25="Connues",
  IF(
    ABS(G25 - VLOOKUP(C25,'Valeurs Règlement Campagne'!$A$4:$V$7,15,FALSE))&lt;=2,
    VLOOKUP(C25,'Valeurs Règlement Campagne'!$A$4:$V$7,15,FALSE),
    IF(
      ABS(G25 - VLOOKUP(C25,'Valeurs Règlement Campagne'!$A$4:$V$7,16,FALSE))&lt;=2,
      VLOOKUP(C25,'Valeurs Règlement Campagne'!$A$4:$V$7,16,FALSE),
      IF(
        ABS(G25 - VLOOKUP(C25,'Valeurs Règlement Campagne'!$A$4:$V$7,17,FALSE))&lt;=2,
        VLOOKUP(C25,'Valeurs Règlement Campagne'!$A$4:$V$7,17,FALSE),
        ""
      )
    )
  ),
  ""
)</f>
        <v/>
      </c>
      <c r="AK25" s="44" t="str">
        <f>IF(
  E25="Connues",
  IF(
    ABS(H25 - VLOOKUP(C25,'Valeurs Règlement Campagne'!$A$4:$V$7,15,FALSE))&lt;=2,
    VLOOKUP(C25,'Valeurs Règlement Campagne'!$A$4:$V$7,15,FALSE),
    IF(
      ABS(H25 - VLOOKUP(C25,'Valeurs Règlement Campagne'!$A$4:$V$7,16,FALSE))&lt;=2,
      VLOOKUP(C25,'Valeurs Règlement Campagne'!$A$4:$V$7,16,FALSE),
      IF(
        ABS(H25 - VLOOKUP(C25,'Valeurs Règlement Campagne'!$A$4:$V$7,17,FALSE))&lt;=2,
        VLOOKUP(C25,'Valeurs Règlement Campagne'!$A$4:$V$7,17,FALSE),
        ""
      )
    )
  ),
  ""
)</f>
        <v/>
      </c>
    </row>
    <row r="26" spans="1:218" ht="20.75" customHeight="1" thickBot="1">
      <c r="A26" s="195">
        <v>21</v>
      </c>
      <c r="B26" s="191"/>
      <c r="C26" s="291"/>
      <c r="D26" s="291"/>
      <c r="E26" s="196"/>
      <c r="F26" s="188"/>
      <c r="G26" s="105"/>
      <c r="H26" s="106"/>
      <c r="I26" s="185"/>
      <c r="J26" s="202"/>
      <c r="L26" s="46" t="str">
        <f>IF($E26=0," ",IF($E26=$D$31,VLOOKUP($C26,'Valeurs Règlement Campagne'!$A$4:$AB$7,14,FALSE),VLOOKUP($C26,'Valeurs Règlement Campagne'!$A$4:$M$7,4,FALSE)))</f>
        <v xml:space="preserve"> </v>
      </c>
      <c r="M26" s="47" t="str">
        <f>IF($E26=0," ",IF($E26=$D$31,VLOOKUP($C26,'Valeurs Règlement Campagne'!$A$4:$AB$7,16,FALSE),VLOOKUP($C26,'Valeurs Règlement Campagne'!$A$4:$AB$7,5,FALSE)))</f>
        <v xml:space="preserve"> </v>
      </c>
      <c r="N26" s="46" t="str">
        <f>IF($E26=0," ",IF($E26=$D$31,VLOOKUP($C26,'Valeurs Règlement Campagne'!$A$4:$AB$7,17,FALSE),VLOOKUP($C26,'Valeurs Règlement Campagne'!$A$4:$AB$7,6,FALSE)))</f>
        <v xml:space="preserve"> </v>
      </c>
      <c r="O26" s="48" t="str">
        <f>IF($E26=0," ",IF($E26=$D$31,VLOOKUP($C26,'Valeurs Règlement Campagne'!$A$4:$AB$7,19,FALSE),VLOOKUP($C26,'Valeurs Règlement Campagne'!$A$4:$AB$7,7,FALSE)))</f>
        <v xml:space="preserve"> </v>
      </c>
      <c r="P26" s="49" t="str">
        <f>IF($E26=0," ",IF($E26=$D$31,VLOOKUP($C26,'Valeurs Règlement Campagne'!$A$4:$AB$7,20,FALSE),VLOOKUP($C26,'Valeurs Règlement Campagne'!$A$4:$AB$7,8,FALSE)))</f>
        <v xml:space="preserve"> </v>
      </c>
      <c r="Q26" s="48" t="str">
        <f>IF($E26=0," ",IF($E26=$D$31,VLOOKUP($C26,'Valeurs Règlement Campagne'!$A$4:$AB$7,22,FALSE),VLOOKUP($C26,'Valeurs Règlement Campagne'!$A$4:$AB$7,9,FALSE)))</f>
        <v xml:space="preserve"> </v>
      </c>
      <c r="R26" s="52" t="str">
        <f>IF($E26=0," ",IF($E26=$D$31,VLOOKUP($C26,'Valeurs Règlement Campagne'!$A$4:$AB$7,25,FALSE),VLOOKUP($C26,'Valeurs Règlement Campagne'!$A$4:$AB$7,11,FALSE)))</f>
        <v xml:space="preserve"> </v>
      </c>
      <c r="S26" s="46" t="str">
        <f>IF($E26=0," ",IF($E26=$D$31,VLOOKUP($C26,'Valeurs Règlement Campagne'!$A$4:$AB$7,26,FALSE),VLOOKUP($C26,'Valeurs Règlement Campagne'!$A$4:$AB$7,12,FALSE)))</f>
        <v xml:space="preserve"> </v>
      </c>
      <c r="T26" s="47" t="str">
        <f>IF($E26=0," ",IF($E26=$D$31,VLOOKUP($C26,'Valeurs Règlement Campagne'!$A$4:$AB$7,28,FALSE),VLOOKUP($C26,'Valeurs Règlement Campagne'!$A$4:$AB$7,13,FALSE)))</f>
        <v xml:space="preserve"> </v>
      </c>
      <c r="U26" s="53" t="str" cm="1">
        <f t="array" ref="U26">IF(C26=0," ",IF(AND(E26="Connues",AH26&lt;&gt;"",COUNTIFS(AH$6:AH$29,AH26,C$6:C$29,C26)&gt;1),"Doublon",IF(AND(E26="Connues",SUMPRODUCT((E$6:E$29="Connues")*(C$6:C$29=C26)*(ROW($6:$29)&lt;&gt;ROW())*(ABS(F$6:F$29-F26)&lt;=2)*((ABS(F$6:F$29-VLOOKUP(C26,'Valeurs Règlement Campagne'!$A$4:$AB$7,14,FALSE))&lt;=2)+(ABS(F$6:F$29-VLOOKUP(C26,'Valeurs Règlement Campagne'!$A$4:$AB$7,15,FALSE))&lt;=2)+(ABS(F$6:F$29-VLOOKUP(C26,'Valeurs Règlement Campagne'!$A$4:$AB$7,16,FALSE))&lt;=2)))&gt;0),"Doublon",IF($C26=0," ",IF(F26=0," ",IF(E26="Inconnues",AND(F26&gt;=L26,F26&lt;=M26),IF(AND('Valeurs Règlement Campagne'!$L$14="OUI",E26="Connues"),AND(F26&gt;=L26-2,F26&lt;=M26+2),OR(F26=L26,F26=L26+5,F26=M26))))))))</f>
        <v xml:space="preserve"> </v>
      </c>
      <c r="V26" s="54" t="str" cm="1">
        <f t="array" ref="V26">IF(C26=0," ",IF(AND(E26="Connues",AH26&lt;&gt;"",COUNTIFS(AH$6:AH$29,AH26,C$6:C$29,C26)&gt;1),"Doublon",IF(AND(E26="Connues",SUMPRODUCT((E$6:E$29="Connues")*(C$6:C$29=C26)*(ROW($6:$29)&lt;&gt;ROW())*(ABS(G$6:G$29-G26)&lt;=2)*((ABS(G$6:G$29-VLOOKUP(C26,'Valeurs Règlement Campagne'!$A$4:$AB$7,17,FALSE))&lt;=2)+(ABS(G$6:G$29-VLOOKUP(C26,'Valeurs Règlement Campagne'!$A$4:$AB$7,18,FALSE))&lt;=2)+(ABS(G$6:G$29-VLOOKUP(C26,'Valeurs Règlement Campagne'!$A$4:$AB$7,19,FALSE))&lt;=2)))&gt;0),"Doublon",IF($C26=0," ",IF(G26=0," ",IF(E26="Inconnues",AND(G26&gt;=N26,G26&lt;=O26),IF(AND('Valeurs Règlement Campagne'!$L$14="OUI",E26="Connues"),AND(G26&gt;=N26-2,G26&lt;=O26+2),OR(G26=N26,G26=N26+5,G26=O26))))))))</f>
        <v xml:space="preserve"> </v>
      </c>
      <c r="W26" s="54" t="str" cm="1">
        <f t="array" ref="W26">IF(C26=0," ",IF(AND(E26="Connues",AE26&lt;&gt;"",COUNTIFS(AE$6:AE$29,AE26,C$6:C$29,C26)&gt;1),"Doublon",IF(AND(E26="Connues",SUMPRODUCT((E$6:E$29="Connues")*(C$6:C$29=C26)*(ROW($6:$29)&lt;&gt;ROW())*(ABS(H$6:H$29-H26)&lt;=2)*((ABS(H$6:H$29-VLOOKUP(C26,'Valeurs Règlement Campagne'!$A$4:$AB$7,20,FALSE))&lt;=2)+(ABS(H$6:H$29-VLOOKUP(C26,'Valeurs Règlement Campagne'!$A$4:$AB$7,21,FALSE))&lt;=2)+(ABS(H$6:H$29-VLOOKUP(C26,'Valeurs Règlement Campagne'!$A$4:$AB$7,22,FALSE))&lt;=2)))&gt;0),"Doublon",IF($C26=0," ",IF(H26=0," ",IF(E26="Inconnues",AND(H26&gt;=P26,H26&lt;=Q26),IF(AND('Valeurs Règlement Campagne'!$L$14="OUI",E26="Connues"),AND(H26&gt;=P26-2,H26&lt;=Q26+2),OR(H26=P26,H26=P26+5,H26=P26))))))))</f>
        <v xml:space="preserve"> </v>
      </c>
      <c r="X26" s="54" t="str" cm="1">
        <f t="array" ref="X26">IF(C26=0," ",IF(AND(E26="Connues",AH26&lt;&gt;"",COUNTIFS(AH$6:AH$29,AH26,C$6:C$29,C26)&gt;1),"Doublon",IF(AND(E26="Connues",SUMPRODUCT((E$6:E$29="Connues")*(C$6:C$29=C26)*(ROW($6:$29)&lt;&gt;ROW())*(ABS(I$6:I$29-I26)&lt;=2)*((ABS(I$6:I$29-VLOOKUP(C26,'Valeurs Règlement Campagne'!$A$4:$AB$7,23,FALSE))&lt;=2)+(ABS(I$6:I$29-VLOOKUP(C26,'Valeurs Règlement Campagne'!$A$4:$AB$7,24,FALSE))&lt;=2)+(ABS(I$6:I$29-VLOOKUP(C26,'Valeurs Règlement Campagne'!$A$4:$AB$7,25,FALSE))&lt;=2)))&gt;0),"Doublon",IF($C26=0," ",IF(I26=0," ",IF(E26="Inconnues",AND(I26&gt;=P26,I26&lt;=R26),IF(AND('Valeurs Règlement Campagne'!$L$14="OUI",E26="Connues"),AND(I26&gt;=P26-2,I26&lt;=R26+2),OR(I26=P26,I26=P26+5,I26=P26))))))))</f>
        <v xml:space="preserve"> </v>
      </c>
      <c r="Y26" s="218" t="str" cm="1">
        <f t="array" ref="Y26">IF(C26=0," ",IF(AND(E26="Connues",AH26&lt;&gt;"",COUNTIFS(AH$6:AH$29,AH26,C$6:C$29,C26)&gt;1),"Doublon",IF(AND(E26="Connues",SUMPRODUCT((E$6:E$29="Connues")*(C$6:C$29=C26)*(ROW($6:$29)&lt;&gt;ROW())*(ABS(J$6:J$29-J26)&lt;=2)*((ABS(J$6:J$29-VLOOKUP(C26,'Valeurs Règlement Campagne'!$A$4:$AB$7,26,FALSE))&lt;=2)+(ABS(J$6:J$29-VLOOKUP(C26,'Valeurs Règlement Campagne'!$A$4:$AB$7,27,FALSE))&lt;=2)+(ABS(J$6:J$29-VLOOKUP(C26,'Valeurs Règlement Campagne'!$A$4:$AB$7,28,FALSE))&lt;=2)))&gt;0),"Doublon",IF($C26=0," ",IF(J26=0," ",IF(E26="Inconnues",AND(J26&gt;=S26,J26&lt;=T26),IF(AND('Valeurs Règlement Campagne'!$L$14="OUI",E26="Connues"),AND(J26&gt;=S26-2,J26&lt;=T26+2),OR(J26=S26,J26=S26+5,J26=S26))))))))</f>
        <v xml:space="preserve"> </v>
      </c>
      <c r="Z26" s="235" t="str">
        <f t="shared" si="3"/>
        <v xml:space="preserve"> </v>
      </c>
      <c r="AA26" s="233"/>
      <c r="AB26" s="233" t="str">
        <f t="shared" si="0"/>
        <v xml:space="preserve"> </v>
      </c>
      <c r="AC26" s="233"/>
      <c r="AD26" s="233" t="str">
        <f t="shared" si="1"/>
        <v xml:space="preserve"> </v>
      </c>
      <c r="AE26" s="233"/>
      <c r="AF26" s="233" t="str">
        <f t="shared" si="4"/>
        <v xml:space="preserve"> </v>
      </c>
      <c r="AG26" s="234"/>
      <c r="AH26" s="55" t="str">
        <f t="shared" si="2"/>
        <v/>
      </c>
      <c r="AI26" s="44" t="str">
        <f>IF(
  E26="Connues",
  IF(
    ABS(F26 - VLOOKUP(C26,'Valeurs Règlement Campagne'!$A$4:$V$7,12,FALSE))&lt;=2,
    VLOOKUP(C26,'Valeurs Règlement Campagne'!$A$4:$V$7,12,FALSE),
    IF(
      ABS(F26 - VLOOKUP(C26,'Valeurs Règlement Campagne'!$A$4:$V$7,13,FALSE))&lt;=2,
      VLOOKUP(C26,'Valeurs Règlement Campagne'!$A$4:$V$7,13,FALSE),
      IF(
        ABS(F26 - VLOOKUP(C26,'Valeurs Règlement Campagne'!$A$4:$V$7,14,FALSE))&lt;=2,
        VLOOKUP(C26,'Valeurs Règlement Campagne'!$A$4:$V$7,14,FALSE),
        ""
      )
    )
  ),
  ""
)</f>
        <v/>
      </c>
      <c r="AJ26" s="44" t="str">
        <f>IF(
  E26="Connues",
  IF(
    ABS(G26 - VLOOKUP(C26,'Valeurs Règlement Campagne'!$A$4:$V$7,15,FALSE))&lt;=2,
    VLOOKUP(C26,'Valeurs Règlement Campagne'!$A$4:$V$7,15,FALSE),
    IF(
      ABS(G26 - VLOOKUP(C26,'Valeurs Règlement Campagne'!$A$4:$V$7,16,FALSE))&lt;=2,
      VLOOKUP(C26,'Valeurs Règlement Campagne'!$A$4:$V$7,16,FALSE),
      IF(
        ABS(G26 - VLOOKUP(C26,'Valeurs Règlement Campagne'!$A$4:$V$7,17,FALSE))&lt;=2,
        VLOOKUP(C26,'Valeurs Règlement Campagne'!$A$4:$V$7,17,FALSE),
        ""
      )
    )
  ),
  ""
)</f>
        <v/>
      </c>
      <c r="AK26" s="44" t="str">
        <f>IF(
  E26="Connues",
  IF(
    ABS(H26 - VLOOKUP(C26,'Valeurs Règlement Campagne'!$A$4:$V$7,15,FALSE))&lt;=2,
    VLOOKUP(C26,'Valeurs Règlement Campagne'!$A$4:$V$7,15,FALSE),
    IF(
      ABS(H26 - VLOOKUP(C26,'Valeurs Règlement Campagne'!$A$4:$V$7,16,FALSE))&lt;=2,
      VLOOKUP(C26,'Valeurs Règlement Campagne'!$A$4:$V$7,16,FALSE),
      IF(
        ABS(H26 - VLOOKUP(C26,'Valeurs Règlement Campagne'!$A$4:$V$7,17,FALSE))&lt;=2,
        VLOOKUP(C26,'Valeurs Règlement Campagne'!$A$4:$V$7,17,FALSE),
        ""
      )
    )
  ),
  ""
)</f>
        <v/>
      </c>
    </row>
    <row r="27" spans="1:218" ht="20.75" customHeight="1" thickBot="1">
      <c r="A27" s="195">
        <v>22</v>
      </c>
      <c r="B27" s="191"/>
      <c r="C27" s="291"/>
      <c r="D27" s="291"/>
      <c r="E27" s="196"/>
      <c r="F27" s="188"/>
      <c r="G27" s="105"/>
      <c r="H27" s="106"/>
      <c r="I27" s="185"/>
      <c r="J27" s="202"/>
      <c r="L27" s="46" t="str">
        <f>IF($E27=0," ",IF($E27=$D$31,VLOOKUP($C27,'Valeurs Règlement Campagne'!$A$4:$AB$7,14,FALSE),VLOOKUP($C27,'Valeurs Règlement Campagne'!$A$4:$M$7,4,FALSE)))</f>
        <v xml:space="preserve"> </v>
      </c>
      <c r="M27" s="47" t="str">
        <f>IF($E27=0," ",IF($E27=$D$31,VLOOKUP($C27,'Valeurs Règlement Campagne'!$A$4:$AB$7,16,FALSE),VLOOKUP($C27,'Valeurs Règlement Campagne'!$A$4:$AB$7,5,FALSE)))</f>
        <v xml:space="preserve"> </v>
      </c>
      <c r="N27" s="46" t="str">
        <f>IF($E27=0," ",IF($E27=$D$31,VLOOKUP($C27,'Valeurs Règlement Campagne'!$A$4:$AB$7,17,FALSE),VLOOKUP($C27,'Valeurs Règlement Campagne'!$A$4:$AB$7,6,FALSE)))</f>
        <v xml:space="preserve"> </v>
      </c>
      <c r="O27" s="48" t="str">
        <f>IF($E27=0," ",IF($E27=$D$31,VLOOKUP($C27,'Valeurs Règlement Campagne'!$A$4:$AB$7,19,FALSE),VLOOKUP($C27,'Valeurs Règlement Campagne'!$A$4:$AB$7,7,FALSE)))</f>
        <v xml:space="preserve"> </v>
      </c>
      <c r="P27" s="49" t="str">
        <f>IF($E27=0," ",IF($E27=$D$31,VLOOKUP($C27,'Valeurs Règlement Campagne'!$A$4:$AB$7,20,FALSE),VLOOKUP($C27,'Valeurs Règlement Campagne'!$A$4:$AB$7,8,FALSE)))</f>
        <v xml:space="preserve"> </v>
      </c>
      <c r="Q27" s="48" t="str">
        <f>IF($E27=0," ",IF($E27=$D$31,VLOOKUP($C27,'Valeurs Règlement Campagne'!$A$4:$AB$7,22,FALSE),VLOOKUP($C27,'Valeurs Règlement Campagne'!$A$4:$AB$7,9,FALSE)))</f>
        <v xml:space="preserve"> </v>
      </c>
      <c r="R27" s="52" t="str">
        <f>IF($E27=0," ",IF($E27=$D$31,VLOOKUP($C27,'Valeurs Règlement Campagne'!$A$4:$AB$7,25,FALSE),VLOOKUP($C27,'Valeurs Règlement Campagne'!$A$4:$AB$7,11,FALSE)))</f>
        <v xml:space="preserve"> </v>
      </c>
      <c r="S27" s="46" t="str">
        <f>IF($E27=0," ",IF($E27=$D$31,VLOOKUP($C27,'Valeurs Règlement Campagne'!$A$4:$AB$7,26,FALSE),VLOOKUP($C27,'Valeurs Règlement Campagne'!$A$4:$AB$7,12,FALSE)))</f>
        <v xml:space="preserve"> </v>
      </c>
      <c r="T27" s="47" t="str">
        <f>IF($E27=0," ",IF($E27=$D$31,VLOOKUP($C27,'Valeurs Règlement Campagne'!$A$4:$AB$7,28,FALSE),VLOOKUP($C27,'Valeurs Règlement Campagne'!$A$4:$AB$7,13,FALSE)))</f>
        <v xml:space="preserve"> </v>
      </c>
      <c r="U27" s="53" t="str" cm="1">
        <f t="array" ref="U27">IF(C27=0," ",IF(AND(E27="Connues",AH27&lt;&gt;"",COUNTIFS(AH$6:AH$29,AH27,C$6:C$29,C27)&gt;1),"Doublon",IF(AND(E27="Connues",SUMPRODUCT((E$6:E$29="Connues")*(C$6:C$29=C27)*(ROW($6:$29)&lt;&gt;ROW())*(ABS(F$6:F$29-F27)&lt;=2)*((ABS(F$6:F$29-VLOOKUP(C27,'Valeurs Règlement Campagne'!$A$4:$AB$7,14,FALSE))&lt;=2)+(ABS(F$6:F$29-VLOOKUP(C27,'Valeurs Règlement Campagne'!$A$4:$AB$7,15,FALSE))&lt;=2)+(ABS(F$6:F$29-VLOOKUP(C27,'Valeurs Règlement Campagne'!$A$4:$AB$7,16,FALSE))&lt;=2)))&gt;0),"Doublon",IF($C27=0," ",IF(F27=0," ",IF(E27="Inconnues",AND(F27&gt;=L27,F27&lt;=M27),IF(AND('Valeurs Règlement Campagne'!$L$14="OUI",E27="Connues"),AND(F27&gt;=L27-2,F27&lt;=M27+2),OR(F27=L27,F27=L27+5,F27=M27))))))))</f>
        <v xml:space="preserve"> </v>
      </c>
      <c r="V27" s="54" t="str" cm="1">
        <f t="array" ref="V27">IF(C27=0," ",IF(AND(E27="Connues",AH27&lt;&gt;"",COUNTIFS(AH$6:AH$29,AH27,C$6:C$29,C27)&gt;1),"Doublon",IF(AND(E27="Connues",SUMPRODUCT((E$6:E$29="Connues")*(C$6:C$29=C27)*(ROW($6:$29)&lt;&gt;ROW())*(ABS(G$6:G$29-G27)&lt;=2)*((ABS(G$6:G$29-VLOOKUP(C27,'Valeurs Règlement Campagne'!$A$4:$AB$7,17,FALSE))&lt;=2)+(ABS(G$6:G$29-VLOOKUP(C27,'Valeurs Règlement Campagne'!$A$4:$AB$7,18,FALSE))&lt;=2)+(ABS(G$6:G$29-VLOOKUP(C27,'Valeurs Règlement Campagne'!$A$4:$AB$7,19,FALSE))&lt;=2)))&gt;0),"Doublon",IF($C27=0," ",IF(G27=0," ",IF(E27="Inconnues",AND(G27&gt;=N27,G27&lt;=O27),IF(AND('Valeurs Règlement Campagne'!$L$14="OUI",E27="Connues"),AND(G27&gt;=N27-2,G27&lt;=O27+2),OR(G27=N27,G27=N27+5,G27=O27))))))))</f>
        <v xml:space="preserve"> </v>
      </c>
      <c r="W27" s="54" t="str" cm="1">
        <f t="array" ref="W27">IF(C27=0," ",IF(AND(E27="Connues",AE27&lt;&gt;"",COUNTIFS(AE$6:AE$29,AE27,C$6:C$29,C27)&gt;1),"Doublon",IF(AND(E27="Connues",SUMPRODUCT((E$6:E$29="Connues")*(C$6:C$29=C27)*(ROW($6:$29)&lt;&gt;ROW())*(ABS(H$6:H$29-H27)&lt;=2)*((ABS(H$6:H$29-VLOOKUP(C27,'Valeurs Règlement Campagne'!$A$4:$AB$7,20,FALSE))&lt;=2)+(ABS(H$6:H$29-VLOOKUP(C27,'Valeurs Règlement Campagne'!$A$4:$AB$7,21,FALSE))&lt;=2)+(ABS(H$6:H$29-VLOOKUP(C27,'Valeurs Règlement Campagne'!$A$4:$AB$7,22,FALSE))&lt;=2)))&gt;0),"Doublon",IF($C27=0," ",IF(H27=0," ",IF(E27="Inconnues",AND(H27&gt;=P27,H27&lt;=Q27),IF(AND('Valeurs Règlement Campagne'!$L$14="OUI",E27="Connues"),AND(H27&gt;=P27-2,H27&lt;=Q27+2),OR(H27=P27,H27=P27+5,H27=P27))))))))</f>
        <v xml:space="preserve"> </v>
      </c>
      <c r="X27" s="54" t="str" cm="1">
        <f t="array" ref="X27">IF(C27=0," ",IF(AND(E27="Connues",AH27&lt;&gt;"",COUNTIFS(AH$6:AH$29,AH27,C$6:C$29,C27)&gt;1),"Doublon",IF(AND(E27="Connues",SUMPRODUCT((E$6:E$29="Connues")*(C$6:C$29=C27)*(ROW($6:$29)&lt;&gt;ROW())*(ABS(I$6:I$29-I27)&lt;=2)*((ABS(I$6:I$29-VLOOKUP(C27,'Valeurs Règlement Campagne'!$A$4:$AB$7,23,FALSE))&lt;=2)+(ABS(I$6:I$29-VLOOKUP(C27,'Valeurs Règlement Campagne'!$A$4:$AB$7,24,FALSE))&lt;=2)+(ABS(I$6:I$29-VLOOKUP(C27,'Valeurs Règlement Campagne'!$A$4:$AB$7,25,FALSE))&lt;=2)))&gt;0),"Doublon",IF($C27=0," ",IF(I27=0," ",IF(E27="Inconnues",AND(I27&gt;=P27,I27&lt;=R27),IF(AND('Valeurs Règlement Campagne'!$L$14="OUI",E27="Connues"),AND(I27&gt;=P27-2,I27&lt;=R27+2),OR(I27=P27,I27=P27+5,I27=P27))))))))</f>
        <v xml:space="preserve"> </v>
      </c>
      <c r="Y27" s="218" t="str" cm="1">
        <f t="array" ref="Y27">IF(C27=0," ",IF(AND(E27="Connues",AH27&lt;&gt;"",COUNTIFS(AH$6:AH$29,AH27,C$6:C$29,C27)&gt;1),"Doublon",IF(AND(E27="Connues",SUMPRODUCT((E$6:E$29="Connues")*(C$6:C$29=C27)*(ROW($6:$29)&lt;&gt;ROW())*(ABS(J$6:J$29-J27)&lt;=2)*((ABS(J$6:J$29-VLOOKUP(C27,'Valeurs Règlement Campagne'!$A$4:$AB$7,26,FALSE))&lt;=2)+(ABS(J$6:J$29-VLOOKUP(C27,'Valeurs Règlement Campagne'!$A$4:$AB$7,27,FALSE))&lt;=2)+(ABS(J$6:J$29-VLOOKUP(C27,'Valeurs Règlement Campagne'!$A$4:$AB$7,28,FALSE))&lt;=2)))&gt;0),"Doublon",IF($C27=0," ",IF(J27=0," ",IF(E27="Inconnues",AND(J27&gt;=S27,J27&lt;=T27),IF(AND('Valeurs Règlement Campagne'!$L$14="OUI",E27="Connues"),AND(J27&gt;=S27-2,J27&lt;=T27+2),OR(J27=S27,J27=S27+5,J27=S27))))))))</f>
        <v xml:space="preserve"> </v>
      </c>
      <c r="Z27" s="235" t="str">
        <f t="shared" si="3"/>
        <v xml:space="preserve"> </v>
      </c>
      <c r="AA27" s="233"/>
      <c r="AB27" s="233" t="str">
        <f t="shared" si="0"/>
        <v xml:space="preserve"> </v>
      </c>
      <c r="AC27" s="233"/>
      <c r="AD27" s="233" t="str">
        <f t="shared" si="1"/>
        <v xml:space="preserve"> </v>
      </c>
      <c r="AE27" s="233"/>
      <c r="AF27" s="233" t="str">
        <f t="shared" si="4"/>
        <v xml:space="preserve"> </v>
      </c>
      <c r="AG27" s="234"/>
      <c r="AH27" s="55" t="str">
        <f t="shared" si="2"/>
        <v/>
      </c>
      <c r="AI27" s="44" t="str">
        <f>IF(
  E27="Connues",
  IF(
    ABS(F27 - VLOOKUP(C27,'Valeurs Règlement Campagne'!$A$4:$V$7,12,FALSE))&lt;=2,
    VLOOKUP(C27,'Valeurs Règlement Campagne'!$A$4:$V$7,12,FALSE),
    IF(
      ABS(F27 - VLOOKUP(C27,'Valeurs Règlement Campagne'!$A$4:$V$7,13,FALSE))&lt;=2,
      VLOOKUP(C27,'Valeurs Règlement Campagne'!$A$4:$V$7,13,FALSE),
      IF(
        ABS(F27 - VLOOKUP(C27,'Valeurs Règlement Campagne'!$A$4:$V$7,14,FALSE))&lt;=2,
        VLOOKUP(C27,'Valeurs Règlement Campagne'!$A$4:$V$7,14,FALSE),
        ""
      )
    )
  ),
  ""
)</f>
        <v/>
      </c>
      <c r="AJ27" s="44" t="str">
        <f>IF(
  E27="Connues",
  IF(
    ABS(G27 - VLOOKUP(C27,'Valeurs Règlement Campagne'!$A$4:$V$7,15,FALSE))&lt;=2,
    VLOOKUP(C27,'Valeurs Règlement Campagne'!$A$4:$V$7,15,FALSE),
    IF(
      ABS(G27 - VLOOKUP(C27,'Valeurs Règlement Campagne'!$A$4:$V$7,16,FALSE))&lt;=2,
      VLOOKUP(C27,'Valeurs Règlement Campagne'!$A$4:$V$7,16,FALSE),
      IF(
        ABS(G27 - VLOOKUP(C27,'Valeurs Règlement Campagne'!$A$4:$V$7,17,FALSE))&lt;=2,
        VLOOKUP(C27,'Valeurs Règlement Campagne'!$A$4:$V$7,17,FALSE),
        ""
      )
    )
  ),
  ""
)</f>
        <v/>
      </c>
      <c r="AK27" s="44" t="str">
        <f>IF(
  E27="Connues",
  IF(
    ABS(H27 - VLOOKUP(C27,'Valeurs Règlement Campagne'!$A$4:$V$7,15,FALSE))&lt;=2,
    VLOOKUP(C27,'Valeurs Règlement Campagne'!$A$4:$V$7,15,FALSE),
    IF(
      ABS(H27 - VLOOKUP(C27,'Valeurs Règlement Campagne'!$A$4:$V$7,16,FALSE))&lt;=2,
      VLOOKUP(C27,'Valeurs Règlement Campagne'!$A$4:$V$7,16,FALSE),
      IF(
        ABS(H27 - VLOOKUP(C27,'Valeurs Règlement Campagne'!$A$4:$V$7,17,FALSE))&lt;=2,
        VLOOKUP(C27,'Valeurs Règlement Campagne'!$A$4:$V$7,17,FALSE),
        ""
      )
    )
  ),
  ""
)</f>
        <v/>
      </c>
    </row>
    <row r="28" spans="1:218" ht="20.75" customHeight="1" thickBot="1">
      <c r="A28" s="195">
        <v>23</v>
      </c>
      <c r="B28" s="191"/>
      <c r="C28" s="291"/>
      <c r="D28" s="291"/>
      <c r="E28" s="196"/>
      <c r="F28" s="188"/>
      <c r="G28" s="105"/>
      <c r="H28" s="106"/>
      <c r="I28" s="185"/>
      <c r="J28" s="202"/>
      <c r="L28" s="46" t="str">
        <f>IF($E28=0," ",IF($E28=$D$31,VLOOKUP($C28,'Valeurs Règlement Campagne'!$A$4:$AB$7,14,FALSE),VLOOKUP($C28,'Valeurs Règlement Campagne'!$A$4:$M$7,4,FALSE)))</f>
        <v xml:space="preserve"> </v>
      </c>
      <c r="M28" s="47" t="str">
        <f>IF($E28=0," ",IF($E28=$D$31,VLOOKUP($C28,'Valeurs Règlement Campagne'!$A$4:$AB$7,16,FALSE),VLOOKUP($C28,'Valeurs Règlement Campagne'!$A$4:$AB$7,5,FALSE)))</f>
        <v xml:space="preserve"> </v>
      </c>
      <c r="N28" s="46" t="str">
        <f>IF($E28=0," ",IF($E28=$D$31,VLOOKUP($C28,'Valeurs Règlement Campagne'!$A$4:$AB$7,17,FALSE),VLOOKUP($C28,'Valeurs Règlement Campagne'!$A$4:$AB$7,6,FALSE)))</f>
        <v xml:space="preserve"> </v>
      </c>
      <c r="O28" s="48" t="str">
        <f>IF($E28=0," ",IF($E28=$D$31,VLOOKUP($C28,'Valeurs Règlement Campagne'!$A$4:$AB$7,19,FALSE),VLOOKUP($C28,'Valeurs Règlement Campagne'!$A$4:$AB$7,7,FALSE)))</f>
        <v xml:space="preserve"> </v>
      </c>
      <c r="P28" s="49" t="str">
        <f>IF($E28=0," ",IF($E28=$D$31,VLOOKUP($C28,'Valeurs Règlement Campagne'!$A$4:$AB$7,20,FALSE),VLOOKUP($C28,'Valeurs Règlement Campagne'!$A$4:$AB$7,8,FALSE)))</f>
        <v xml:space="preserve"> </v>
      </c>
      <c r="Q28" s="48" t="str">
        <f>IF($E28=0," ",IF($E28=$D$31,VLOOKUP($C28,'Valeurs Règlement Campagne'!$A$4:$AB$7,22,FALSE),VLOOKUP($C28,'Valeurs Règlement Campagne'!$A$4:$AB$7,9,FALSE)))</f>
        <v xml:space="preserve"> </v>
      </c>
      <c r="R28" s="52" t="str">
        <f>IF($E28=0," ",IF($E28=$D$31,VLOOKUP($C28,'Valeurs Règlement Campagne'!$A$4:$AB$7,25,FALSE),VLOOKUP($C28,'Valeurs Règlement Campagne'!$A$4:$AB$7,11,FALSE)))</f>
        <v xml:space="preserve"> </v>
      </c>
      <c r="S28" s="46" t="str">
        <f>IF($E28=0," ",IF($E28=$D$31,VLOOKUP($C28,'Valeurs Règlement Campagne'!$A$4:$AB$7,26,FALSE),VLOOKUP($C28,'Valeurs Règlement Campagne'!$A$4:$AB$7,12,FALSE)))</f>
        <v xml:space="preserve"> </v>
      </c>
      <c r="T28" s="47" t="str">
        <f>IF($E28=0," ",IF($E28=$D$31,VLOOKUP($C28,'Valeurs Règlement Campagne'!$A$4:$AB$7,28,FALSE),VLOOKUP($C28,'Valeurs Règlement Campagne'!$A$4:$AB$7,13,FALSE)))</f>
        <v xml:space="preserve"> </v>
      </c>
      <c r="U28" s="53" t="str" cm="1">
        <f t="array" ref="U28">IF(C28=0," ",IF(AND(E28="Connues",AH28&lt;&gt;"",COUNTIFS(AH$6:AH$29,AH28,C$6:C$29,C28)&gt;1),"Doublon",IF(AND(E28="Connues",SUMPRODUCT((E$6:E$29="Connues")*(C$6:C$29=C28)*(ROW($6:$29)&lt;&gt;ROW())*(ABS(F$6:F$29-F28)&lt;=2)*((ABS(F$6:F$29-VLOOKUP(C28,'Valeurs Règlement Campagne'!$A$4:$AB$7,14,FALSE))&lt;=2)+(ABS(F$6:F$29-VLOOKUP(C28,'Valeurs Règlement Campagne'!$A$4:$AB$7,15,FALSE))&lt;=2)+(ABS(F$6:F$29-VLOOKUP(C28,'Valeurs Règlement Campagne'!$A$4:$AB$7,16,FALSE))&lt;=2)))&gt;0),"Doublon",IF($C28=0," ",IF(F28=0," ",IF(E28="Inconnues",AND(F28&gt;=L28,F28&lt;=M28),IF(AND('Valeurs Règlement Campagne'!$L$14="OUI",E28="Connues"),AND(F28&gt;=L28-2,F28&lt;=M28+2),OR(F28=L28,F28=L28+5,F28=M28))))))))</f>
        <v xml:space="preserve"> </v>
      </c>
      <c r="V28" s="54" t="str" cm="1">
        <f t="array" ref="V28">IF(C28=0," ",IF(AND(E28="Connues",AH28&lt;&gt;"",COUNTIFS(AH$6:AH$29,AH28,C$6:C$29,C28)&gt;1),"Doublon",IF(AND(E28="Connues",SUMPRODUCT((E$6:E$29="Connues")*(C$6:C$29=C28)*(ROW($6:$29)&lt;&gt;ROW())*(ABS(G$6:G$29-G28)&lt;=2)*((ABS(G$6:G$29-VLOOKUP(C28,'Valeurs Règlement Campagne'!$A$4:$AB$7,17,FALSE))&lt;=2)+(ABS(G$6:G$29-VLOOKUP(C28,'Valeurs Règlement Campagne'!$A$4:$AB$7,18,FALSE))&lt;=2)+(ABS(G$6:G$29-VLOOKUP(C28,'Valeurs Règlement Campagne'!$A$4:$AB$7,19,FALSE))&lt;=2)))&gt;0),"Doublon",IF($C28=0," ",IF(G28=0," ",IF(E28="Inconnues",AND(G28&gt;=N28,G28&lt;=O28),IF(AND('Valeurs Règlement Campagne'!$L$14="OUI",E28="Connues"),AND(G28&gt;=N28-2,G28&lt;=O28+2),OR(G28=N28,G28=N28+5,G28=O28))))))))</f>
        <v xml:space="preserve"> </v>
      </c>
      <c r="W28" s="54" t="str" cm="1">
        <f t="array" ref="W28">IF(C28=0," ",IF(AND(E28="Connues",AE28&lt;&gt;"",COUNTIFS(AE$6:AE$29,AE28,C$6:C$29,C28)&gt;1),"Doublon",IF(AND(E28="Connues",SUMPRODUCT((E$6:E$29="Connues")*(C$6:C$29=C28)*(ROW($6:$29)&lt;&gt;ROW())*(ABS(H$6:H$29-H28)&lt;=2)*((ABS(H$6:H$29-VLOOKUP(C28,'Valeurs Règlement Campagne'!$A$4:$AB$7,20,FALSE))&lt;=2)+(ABS(H$6:H$29-VLOOKUP(C28,'Valeurs Règlement Campagne'!$A$4:$AB$7,21,FALSE))&lt;=2)+(ABS(H$6:H$29-VLOOKUP(C28,'Valeurs Règlement Campagne'!$A$4:$AB$7,22,FALSE))&lt;=2)))&gt;0),"Doublon",IF($C28=0," ",IF(H28=0," ",IF(E28="Inconnues",AND(H28&gt;=P28,H28&lt;=Q28),IF(AND('Valeurs Règlement Campagne'!$L$14="OUI",E28="Connues"),AND(H28&gt;=P28-2,H28&lt;=Q28+2),OR(H28=P28,H28=P28+5,H28=P28))))))))</f>
        <v xml:space="preserve"> </v>
      </c>
      <c r="X28" s="54" t="str" cm="1">
        <f t="array" ref="X28">IF(C28=0," ",IF(AND(E28="Connues",AH28&lt;&gt;"",COUNTIFS(AH$6:AH$29,AH28,C$6:C$29,C28)&gt;1),"Doublon",IF(AND(E28="Connues",SUMPRODUCT((E$6:E$29="Connues")*(C$6:C$29=C28)*(ROW($6:$29)&lt;&gt;ROW())*(ABS(I$6:I$29-I28)&lt;=2)*((ABS(I$6:I$29-VLOOKUP(C28,'Valeurs Règlement Campagne'!$A$4:$AB$7,23,FALSE))&lt;=2)+(ABS(I$6:I$29-VLOOKUP(C28,'Valeurs Règlement Campagne'!$A$4:$AB$7,24,FALSE))&lt;=2)+(ABS(I$6:I$29-VLOOKUP(C28,'Valeurs Règlement Campagne'!$A$4:$AB$7,25,FALSE))&lt;=2)))&gt;0),"Doublon",IF($C28=0," ",IF(I28=0," ",IF(E28="Inconnues",AND(I28&gt;=P28,I28&lt;=R28),IF(AND('Valeurs Règlement Campagne'!$L$14="OUI",E28="Connues"),AND(I28&gt;=P28-2,I28&lt;=R28+2),OR(I28=P28,I28=P28+5,I28=P28))))))))</f>
        <v xml:space="preserve"> </v>
      </c>
      <c r="Y28" s="218" t="str" cm="1">
        <f t="array" ref="Y28">IF(C28=0," ",IF(AND(E28="Connues",AH28&lt;&gt;"",COUNTIFS(AH$6:AH$29,AH28,C$6:C$29,C28)&gt;1),"Doublon",IF(AND(E28="Connues",SUMPRODUCT((E$6:E$29="Connues")*(C$6:C$29=C28)*(ROW($6:$29)&lt;&gt;ROW())*(ABS(J$6:J$29-J28)&lt;=2)*((ABS(J$6:J$29-VLOOKUP(C28,'Valeurs Règlement Campagne'!$A$4:$AB$7,26,FALSE))&lt;=2)+(ABS(J$6:J$29-VLOOKUP(C28,'Valeurs Règlement Campagne'!$A$4:$AB$7,27,FALSE))&lt;=2)+(ABS(J$6:J$29-VLOOKUP(C28,'Valeurs Règlement Campagne'!$A$4:$AB$7,28,FALSE))&lt;=2)))&gt;0),"Doublon",IF($C28=0," ",IF(J28=0," ",IF(E28="Inconnues",AND(J28&gt;=S28,J28&lt;=T28),IF(AND('Valeurs Règlement Campagne'!$L$14="OUI",E28="Connues"),AND(J28&gt;=S28-2,J28&lt;=T28+2),OR(J28=S28,J28=S28+5,J28=S28))))))))</f>
        <v xml:space="preserve"> </v>
      </c>
      <c r="Z28" s="235" t="str">
        <f t="shared" si="3"/>
        <v xml:space="preserve"> </v>
      </c>
      <c r="AA28" s="233"/>
      <c r="AB28" s="233" t="str">
        <f t="shared" si="0"/>
        <v xml:space="preserve"> </v>
      </c>
      <c r="AC28" s="233"/>
      <c r="AD28" s="233" t="str">
        <f t="shared" si="1"/>
        <v xml:space="preserve"> </v>
      </c>
      <c r="AE28" s="233"/>
      <c r="AF28" s="233" t="str">
        <f t="shared" si="4"/>
        <v xml:space="preserve"> </v>
      </c>
      <c r="AG28" s="234"/>
      <c r="AH28" s="55" t="str">
        <f t="shared" si="2"/>
        <v/>
      </c>
      <c r="AI28" s="44" t="str">
        <f>IF(
  E28="Connues",
  IF(
    ABS(F28 - VLOOKUP(C28,'Valeurs Règlement Campagne'!$A$4:$V$7,12,FALSE))&lt;=2,
    VLOOKUP(C28,'Valeurs Règlement Campagne'!$A$4:$V$7,12,FALSE),
    IF(
      ABS(F28 - VLOOKUP(C28,'Valeurs Règlement Campagne'!$A$4:$V$7,13,FALSE))&lt;=2,
      VLOOKUP(C28,'Valeurs Règlement Campagne'!$A$4:$V$7,13,FALSE),
      IF(
        ABS(F28 - VLOOKUP(C28,'Valeurs Règlement Campagne'!$A$4:$V$7,14,FALSE))&lt;=2,
        VLOOKUP(C28,'Valeurs Règlement Campagne'!$A$4:$V$7,14,FALSE),
        ""
      )
    )
  ),
  ""
)</f>
        <v/>
      </c>
      <c r="AJ28" s="44" t="str">
        <f>IF(
  E28="Connues",
  IF(
    ABS(G28 - VLOOKUP(C28,'Valeurs Règlement Campagne'!$A$4:$V$7,15,FALSE))&lt;=2,
    VLOOKUP(C28,'Valeurs Règlement Campagne'!$A$4:$V$7,15,FALSE),
    IF(
      ABS(G28 - VLOOKUP(C28,'Valeurs Règlement Campagne'!$A$4:$V$7,16,FALSE))&lt;=2,
      VLOOKUP(C28,'Valeurs Règlement Campagne'!$A$4:$V$7,16,FALSE),
      IF(
        ABS(G28 - VLOOKUP(C28,'Valeurs Règlement Campagne'!$A$4:$V$7,17,FALSE))&lt;=2,
        VLOOKUP(C28,'Valeurs Règlement Campagne'!$A$4:$V$7,17,FALSE),
        ""
      )
    )
  ),
  ""
)</f>
        <v/>
      </c>
      <c r="AK28" s="44" t="str">
        <f>IF(
  E28="Connues",
  IF(
    ABS(H28 - VLOOKUP(C28,'Valeurs Règlement Campagne'!$A$4:$V$7,15,FALSE))&lt;=2,
    VLOOKUP(C28,'Valeurs Règlement Campagne'!$A$4:$V$7,15,FALSE),
    IF(
      ABS(H28 - VLOOKUP(C28,'Valeurs Règlement Campagne'!$A$4:$V$7,16,FALSE))&lt;=2,
      VLOOKUP(C28,'Valeurs Règlement Campagne'!$A$4:$V$7,16,FALSE),
      IF(
        ABS(H28 - VLOOKUP(C28,'Valeurs Règlement Campagne'!$A$4:$V$7,17,FALSE))&lt;=2,
        VLOOKUP(C28,'Valeurs Règlement Campagne'!$A$4:$V$7,17,FALSE),
        ""
      )
    )
  ),
  ""
)</f>
        <v/>
      </c>
    </row>
    <row r="29" spans="1:218" ht="20.75" customHeight="1" thickBot="1">
      <c r="A29" s="197">
        <v>24</v>
      </c>
      <c r="B29" s="198"/>
      <c r="C29" s="290"/>
      <c r="D29" s="290"/>
      <c r="E29" s="199"/>
      <c r="F29" s="188"/>
      <c r="G29" s="109"/>
      <c r="H29" s="110"/>
      <c r="I29" s="186"/>
      <c r="J29" s="203"/>
      <c r="L29" s="40" t="str">
        <f>IF($E29=0," ",IF($E29=$D$31,VLOOKUP($C29,'Valeurs Règlement Campagne'!$A$4:$AB$7,14,FALSE),VLOOKUP($C29,'Valeurs Règlement Campagne'!$A$4:$M$7,4,FALSE)))</f>
        <v xml:space="preserve"> </v>
      </c>
      <c r="M29" s="41" t="str">
        <f>IF($E29=0," ",IF($E29=$D$31,VLOOKUP($C29,'Valeurs Règlement Campagne'!$A$4:$AB$7,16,FALSE),VLOOKUP($C29,'Valeurs Règlement Campagne'!$A$4:$AB$7,5,FALSE)))</f>
        <v xml:space="preserve"> </v>
      </c>
      <c r="N29" s="40" t="str">
        <f>IF($E29=0," ",IF($E29=$D$31,VLOOKUP($C29,'Valeurs Règlement Campagne'!$A$4:$AB$7,17,FALSE),VLOOKUP($C29,'Valeurs Règlement Campagne'!$A$4:$AB$7,6,FALSE)))</f>
        <v xml:space="preserve"> </v>
      </c>
      <c r="O29" s="42" t="str">
        <f>IF($E29=0," ",IF($E29=$D$31,VLOOKUP($C29,'Valeurs Règlement Campagne'!$A$4:$AB$7,19,FALSE),VLOOKUP($C29,'Valeurs Règlement Campagne'!$A$4:$AB$7,7,FALSE)))</f>
        <v xml:space="preserve"> </v>
      </c>
      <c r="P29" s="43" t="str">
        <f>IF($E29=0," ",IF($E29=$D$31,VLOOKUP($C29,'Valeurs Règlement Campagne'!$A$4:$AB$7,20,FALSE),VLOOKUP($C29,'Valeurs Règlement Campagne'!$A$4:$AB$7,8,FALSE)))</f>
        <v xml:space="preserve"> </v>
      </c>
      <c r="Q29" s="42" t="str">
        <f>IF($E29=0," ",IF($E29=$D$31,VLOOKUP($C29,'Valeurs Règlement Campagne'!$A$4:$AB$7,22,FALSE),VLOOKUP($C29,'Valeurs Règlement Campagne'!$A$4:$AB$7,9,FALSE)))</f>
        <v xml:space="preserve"> </v>
      </c>
      <c r="R29" s="56" t="str">
        <f>IF($E29=0," ",IF($E29=$D$31,VLOOKUP($C29,'Valeurs Règlement Campagne'!$A$4:$AB$7,25,FALSE),VLOOKUP($C29,'Valeurs Règlement Campagne'!$A$4:$AB$7,11,FALSE)))</f>
        <v xml:space="preserve"> </v>
      </c>
      <c r="S29" s="40" t="str">
        <f>IF($E29=0," ",IF($E29=$D$31,VLOOKUP($C29,'Valeurs Règlement Campagne'!$A$4:$AB$7,26,FALSE),VLOOKUP($C29,'Valeurs Règlement Campagne'!$A$4:$AB$7,12,FALSE)))</f>
        <v xml:space="preserve"> </v>
      </c>
      <c r="T29" s="41" t="str">
        <f>IF($E29=0," ",IF($E29=$D$31,VLOOKUP($C29,'Valeurs Règlement Campagne'!$A$4:$AB$7,28,FALSE),VLOOKUP($C29,'Valeurs Règlement Campagne'!$A$4:$AB$7,13,FALSE)))</f>
        <v xml:space="preserve"> </v>
      </c>
      <c r="U29" s="57" t="str" cm="1">
        <f t="array" ref="U29">IF(C29=0," ",IF(AND(E29="Connues",AH29&lt;&gt;"",COUNTIFS(AH$6:AH$29,AH29,C$6:C$29,C29)&gt;1),"Doublon",IF(AND(E29="Connues",SUMPRODUCT((E$6:E$29="Connues")*(C$6:C$29=C29)*(ROW($6:$29)&lt;&gt;ROW())*(ABS(F$6:F$29-F29)&lt;=2)*((ABS(F$6:F$29-VLOOKUP(C29,'Valeurs Règlement Campagne'!$A$4:$AB$7,14,FALSE))&lt;=2)+(ABS(F$6:F$29-VLOOKUP(C29,'Valeurs Règlement Campagne'!$A$4:$AB$7,15,FALSE))&lt;=2)+(ABS(F$6:F$29-VLOOKUP(C29,'Valeurs Règlement Campagne'!$A$4:$AB$7,16,FALSE))&lt;=2)))&gt;0),"Doublon",IF($C29=0," ",IF(F29=0," ",IF(E29="Inconnues",AND(F29&gt;=L29,F29&lt;=M29),IF(AND('Valeurs Règlement Campagne'!$L$14="OUI",E29="Connues"),AND(F29&gt;=L29-2,F29&lt;=M29+2),OR(F29=L29,F29=L29+5,F29=M29))))))))</f>
        <v xml:space="preserve"> </v>
      </c>
      <c r="V29" s="58" t="str" cm="1">
        <f t="array" ref="V29">IF(C29=0," ",IF(AND(E29="Connues",AH29&lt;&gt;"",COUNTIFS(AH$6:AH$29,AH29,C$6:C$29,C29)&gt;1),"Doublon",IF(AND(E29="Connues",SUMPRODUCT((E$6:E$29="Connues")*(C$6:C$29=C29)*(ROW($6:$29)&lt;&gt;ROW())*(ABS(G$6:G$29-G29)&lt;=2)*((ABS(G$6:G$29-VLOOKUP(C29,'Valeurs Règlement Campagne'!$A$4:$AB$7,17,FALSE))&lt;=2)+(ABS(G$6:G$29-VLOOKUP(C29,'Valeurs Règlement Campagne'!$A$4:$AB$7,18,FALSE))&lt;=2)+(ABS(G$6:G$29-VLOOKUP(C29,'Valeurs Règlement Campagne'!$A$4:$AB$7,19,FALSE))&lt;=2)))&gt;0),"Doublon",IF($C29=0," ",IF(G29=0," ",IF(E29="Inconnues",AND(G29&gt;=N29,G29&lt;=O29),IF(AND('Valeurs Règlement Campagne'!$L$14="OUI",E29="Connues"),AND(G29&gt;=N29-2,G29&lt;=O29+2),OR(G29=N29,G29=N29+5,G29=O29))))))))</f>
        <v xml:space="preserve"> </v>
      </c>
      <c r="W29" s="58" t="str" cm="1">
        <f t="array" ref="W29">IF(C29=0," ",IF(AND(E29="Connues",AE29&lt;&gt;"",COUNTIFS(AE$6:AE$29,AE29,C$6:C$29,C29)&gt;1),"Doublon",IF(AND(E29="Connues",SUMPRODUCT((E$6:E$29="Connues")*(C$6:C$29=C29)*(ROW($6:$29)&lt;&gt;ROW())*(ABS(H$6:H$29-H29)&lt;=2)*((ABS(H$6:H$29-VLOOKUP(C29,'Valeurs Règlement Campagne'!$A$4:$AB$7,20,FALSE))&lt;=2)+(ABS(H$6:H$29-VLOOKUP(C29,'Valeurs Règlement Campagne'!$A$4:$AB$7,21,FALSE))&lt;=2)+(ABS(H$6:H$29-VLOOKUP(C29,'Valeurs Règlement Campagne'!$A$4:$AB$7,22,FALSE))&lt;=2)))&gt;0),"Doublon",IF($C29=0," ",IF(H29=0," ",IF(E29="Inconnues",AND(H29&gt;=P29,H29&lt;=Q29),IF(AND('Valeurs Règlement Campagne'!$L$14="OUI",E29="Connues"),AND(H29&gt;=P29-2,H29&lt;=Q29+2),OR(H29=P29,H29=P29+5,H29=P29))))))))</f>
        <v xml:space="preserve"> </v>
      </c>
      <c r="X29" s="58" t="str" cm="1">
        <f t="array" ref="X29">IF(C29=0," ",IF(AND(E29="Connues",AH29&lt;&gt;"",COUNTIFS(AH$6:AH$29,AH29,C$6:C$29,C29)&gt;1),"Doublon",IF(AND(E29="Connues",SUMPRODUCT((E$6:E$29="Connues")*(C$6:C$29=C29)*(ROW($6:$29)&lt;&gt;ROW())*(ABS(I$6:I$29-I29)&lt;=2)*((ABS(I$6:I$29-VLOOKUP(C29,'Valeurs Règlement Campagne'!$A$4:$AB$7,23,FALSE))&lt;=2)+(ABS(I$6:I$29-VLOOKUP(C29,'Valeurs Règlement Campagne'!$A$4:$AB$7,24,FALSE))&lt;=2)+(ABS(I$6:I$29-VLOOKUP(C29,'Valeurs Règlement Campagne'!$A$4:$AB$7,25,FALSE))&lt;=2)))&gt;0),"Doublon",IF($C29=0," ",IF(I29=0," ",IF(E29="Inconnues",AND(I29&gt;=P29,I29&lt;=R29),IF(AND('Valeurs Règlement Campagne'!$L$14="OUI",E29="Connues"),AND(I29&gt;=P29-2,I29&lt;=R29+2),OR(I29=P29,I29=P29+5,I29=P29))))))))</f>
        <v xml:space="preserve"> </v>
      </c>
      <c r="Y29" s="219" t="str" cm="1">
        <f t="array" ref="Y29">IF(C29=0," ",IF(AND(E29="Connues",AH29&lt;&gt;"",COUNTIFS(AH$6:AH$29,AH29,C$6:C$29,C29)&gt;1),"Doublon",IF(AND(E29="Connues",SUMPRODUCT((E$6:E$29="Connues")*(C$6:C$29=C29)*(ROW($6:$29)&lt;&gt;ROW())*(ABS(J$6:J$29-J29)&lt;=2)*((ABS(J$6:J$29-VLOOKUP(C29,'Valeurs Règlement Campagne'!$A$4:$AB$7,26,FALSE))&lt;=2)+(ABS(J$6:J$29-VLOOKUP(C29,'Valeurs Règlement Campagne'!$A$4:$AB$7,27,FALSE))&lt;=2)+(ABS(J$6:J$29-VLOOKUP(C29,'Valeurs Règlement Campagne'!$A$4:$AB$7,28,FALSE))&lt;=2)))&gt;0),"Doublon",IF($C29=0," ",IF(J29=0," ",IF(E29="Inconnues",AND(J29&gt;=S29,J29&lt;=T29),IF(AND('Valeurs Règlement Campagne'!$L$14="OUI",E29="Connues"),AND(J29&gt;=S29-2,J29&lt;=T29+2),OR(J29=S29,J29=S29+5,J29=S29))))))))</f>
        <v xml:space="preserve"> </v>
      </c>
      <c r="Z29" s="289" t="str">
        <f t="shared" si="3"/>
        <v xml:space="preserve"> </v>
      </c>
      <c r="AA29" s="222"/>
      <c r="AB29" s="222" t="str">
        <f t="shared" si="0"/>
        <v xml:space="preserve"> </v>
      </c>
      <c r="AC29" s="222"/>
      <c r="AD29" s="222" t="str">
        <f t="shared" si="1"/>
        <v xml:space="preserve"> </v>
      </c>
      <c r="AE29" s="222"/>
      <c r="AF29" s="222" t="str">
        <f t="shared" si="4"/>
        <v xml:space="preserve"> </v>
      </c>
      <c r="AG29" s="223"/>
      <c r="AH29" s="55" t="str">
        <f t="shared" si="2"/>
        <v/>
      </c>
      <c r="AI29" s="44" t="str">
        <f>IF(
  E29="Connues",
  IF(
    ABS(F29 - VLOOKUP(C29,'Valeurs Règlement Campagne'!$A$4:$V$7,12,FALSE))&lt;=2,
    VLOOKUP(C29,'Valeurs Règlement Campagne'!$A$4:$V$7,12,FALSE),
    IF(
      ABS(F29 - VLOOKUP(C29,'Valeurs Règlement Campagne'!$A$4:$V$7,13,FALSE))&lt;=2,
      VLOOKUP(C29,'Valeurs Règlement Campagne'!$A$4:$V$7,13,FALSE),
      IF(
        ABS(F29 - VLOOKUP(C29,'Valeurs Règlement Campagne'!$A$4:$V$7,14,FALSE))&lt;=2,
        VLOOKUP(C29,'Valeurs Règlement Campagne'!$A$4:$V$7,14,FALSE),
        ""
      )
    )
  ),
  ""
)</f>
        <v/>
      </c>
      <c r="AJ29" s="44" t="str">
        <f>IF(
  E29="Connues",
  IF(
    ABS(G29 - VLOOKUP(C29,'Valeurs Règlement Campagne'!$A$4:$V$7,15,FALSE))&lt;=2,
    VLOOKUP(C29,'Valeurs Règlement Campagne'!$A$4:$V$7,15,FALSE),
    IF(
      ABS(G29 - VLOOKUP(C29,'Valeurs Règlement Campagne'!$A$4:$V$7,16,FALSE))&lt;=2,
      VLOOKUP(C29,'Valeurs Règlement Campagne'!$A$4:$V$7,16,FALSE),
      IF(
        ABS(G29 - VLOOKUP(C29,'Valeurs Règlement Campagne'!$A$4:$V$7,17,FALSE))&lt;=2,
        VLOOKUP(C29,'Valeurs Règlement Campagne'!$A$4:$V$7,17,FALSE),
        ""
      )
    )
  ),
  ""
)</f>
        <v/>
      </c>
      <c r="AK29" s="44" t="str">
        <f>IF(
  E29="Connues",
  IF(
    ABS(H29 - VLOOKUP(C29,'Valeurs Règlement Campagne'!$A$4:$V$7,15,FALSE))&lt;=2,
    VLOOKUP(C29,'Valeurs Règlement Campagne'!$A$4:$V$7,15,FALSE),
    IF(
      ABS(H29 - VLOOKUP(C29,'Valeurs Règlement Campagne'!$A$4:$V$7,16,FALSE))&lt;=2,
      VLOOKUP(C29,'Valeurs Règlement Campagne'!$A$4:$V$7,16,FALSE),
      IF(
        ABS(H29 - VLOOKUP(C29,'Valeurs Règlement Campagne'!$A$4:$V$7,17,FALSE))&lt;=2,
        VLOOKUP(C29,'Valeurs Règlement Campagne'!$A$4:$V$7,17,FALSE),
        ""
      )
    )
  ),
  ""
)</f>
        <v/>
      </c>
    </row>
    <row r="30" spans="1:218" ht="19.75" customHeight="1" thickBot="1">
      <c r="A30" s="59"/>
      <c r="B30" s="60"/>
      <c r="C30" s="59"/>
      <c r="F30" s="62"/>
      <c r="G30" s="62"/>
      <c r="H30" s="62"/>
      <c r="I30" s="62"/>
      <c r="J30" s="6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</row>
    <row r="31" spans="1:218" ht="27" customHeight="1" thickBot="1">
      <c r="A31" s="59"/>
      <c r="B31" s="64" t="s">
        <v>15</v>
      </c>
      <c r="C31" s="65" t="str">
        <f>'Valeurs Règlement Campagne'!D8</f>
        <v>Inconnues</v>
      </c>
      <c r="D31" s="66" t="str">
        <f>'Valeurs Règlement Campagne'!N8</f>
        <v>Connues</v>
      </c>
      <c r="E31" s="67" t="s">
        <v>9</v>
      </c>
      <c r="F31" s="25" t="s">
        <v>16</v>
      </c>
      <c r="G31" s="31" t="s">
        <v>16</v>
      </c>
      <c r="H31" s="68" t="s">
        <v>16</v>
      </c>
      <c r="I31" s="62"/>
      <c r="J31" s="6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</row>
    <row r="32" spans="1:218" ht="27.25" customHeight="1" thickBot="1">
      <c r="A32" s="69" t="str">
        <f>'Valeurs Règlement Campagne'!A4</f>
        <v>4 trispots 20 cm</v>
      </c>
      <c r="B32" s="70">
        <f>'Valeurs Règlement Campagne'!B4+'Valeurs Règlement Campagne'!C4</f>
        <v>6</v>
      </c>
      <c r="C32" s="71">
        <f>COUNTIFS($C6:$C29,A32,E6:E29,C31)</f>
        <v>0</v>
      </c>
      <c r="D32" s="72">
        <f>COUNTIFS($C6:$C29,A32,E6:E29,D31)</f>
        <v>0</v>
      </c>
      <c r="E32" s="73" t="str">
        <f>IF(C32=D32,IF(C32+D32=B32,"ok","manque"),"manque")</f>
        <v>manque</v>
      </c>
      <c r="F32" s="74" t="str">
        <f>IFERROR(AVERAGEIF(C6:C29,A32,F6:F29)," ")</f>
        <v xml:space="preserve"> </v>
      </c>
      <c r="G32" s="75" t="str">
        <f>IFERROR(AVERAGEIF(C6:C29,A32,G6:G29)," ")</f>
        <v xml:space="preserve"> </v>
      </c>
      <c r="H32" s="76" t="str">
        <f>IFERROR(AVERAGEIF(C6:C29,A32,H6:H29)," ")</f>
        <v xml:space="preserve"> </v>
      </c>
      <c r="I32" s="62"/>
      <c r="J32" s="62"/>
      <c r="L32" s="22"/>
      <c r="M32" s="22"/>
      <c r="N32" s="22"/>
      <c r="O32" s="22"/>
      <c r="P32" s="224" t="s">
        <v>53</v>
      </c>
      <c r="Q32" s="225"/>
      <c r="R32" s="225"/>
      <c r="S32" s="225"/>
      <c r="T32" s="225"/>
      <c r="U32" s="225"/>
      <c r="V32" s="225"/>
      <c r="W32" s="225"/>
      <c r="X32" s="225"/>
      <c r="Y32" s="225"/>
      <c r="Z32" s="226"/>
      <c r="AA32" s="22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</row>
    <row r="33" spans="1:218" ht="20.75" customHeight="1" thickBot="1">
      <c r="A33" s="77" t="str">
        <f>'Valeurs Règlement Campagne'!A5</f>
        <v>4 cibles de 40 cm</v>
      </c>
      <c r="B33" s="70">
        <f>'Valeurs Règlement Campagne'!B5+'Valeurs Règlement Campagne'!C5</f>
        <v>6</v>
      </c>
      <c r="C33" s="71">
        <f>COUNTIFS($C6:$C29,A33,E6:E29,C31)</f>
        <v>0</v>
      </c>
      <c r="D33" s="78">
        <f>COUNTIFS($C6:$C29,A33,E6:E29,D31)</f>
        <v>0</v>
      </c>
      <c r="E33" s="79" t="str">
        <f t="shared" ref="E33:E35" si="5">IF(C33=D33,IF(C33+D33=B33,"ok","manque"),"manque")</f>
        <v>manque</v>
      </c>
      <c r="F33" s="80" t="str">
        <f>IFERROR(AVERAGEIF($C6:$C29,A33,F6:F29)," ")</f>
        <v xml:space="preserve"> </v>
      </c>
      <c r="G33" s="81" t="str">
        <f>IFERROR(AVERAGEIF($C6:$C29,A33,G6:G29)," ")</f>
        <v xml:space="preserve"> </v>
      </c>
      <c r="H33" s="82" t="str">
        <f>IFERROR(AVERAGEIF($C6:$C29,A33,H6:H29)," ")</f>
        <v xml:space="preserve"> </v>
      </c>
      <c r="I33" s="62"/>
      <c r="J33" s="62"/>
      <c r="L33" s="22"/>
      <c r="M33" s="22"/>
      <c r="N33" s="22"/>
      <c r="O33" s="22"/>
      <c r="P33" s="227"/>
      <c r="Q33" s="228"/>
      <c r="R33" s="228"/>
      <c r="S33" s="228"/>
      <c r="T33" s="228"/>
      <c r="U33" s="228"/>
      <c r="V33" s="228"/>
      <c r="W33" s="228"/>
      <c r="X33" s="228"/>
      <c r="Y33" s="228"/>
      <c r="Z33" s="229"/>
      <c r="AA33" s="22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</row>
    <row r="34" spans="1:218" ht="20.75" customHeight="1" thickBot="1">
      <c r="A34" s="69" t="str">
        <f>'Valeurs Règlement Campagne'!A6</f>
        <v>1 cible de 60 cm</v>
      </c>
      <c r="B34" s="70">
        <f>'Valeurs Règlement Campagne'!B6+'Valeurs Règlement Campagne'!C6</f>
        <v>6</v>
      </c>
      <c r="C34" s="71">
        <f>COUNTIFS($C6:$C29,A34,E6:E29,C31)</f>
        <v>0</v>
      </c>
      <c r="D34" s="72">
        <f>COUNTIFS($C6:$C29,A34,E6:E29,D31)</f>
        <v>0</v>
      </c>
      <c r="E34" s="79" t="str">
        <f t="shared" si="5"/>
        <v>manque</v>
      </c>
      <c r="F34" s="74" t="str">
        <f>IFERROR(AVERAGEIF($C6:$C29,A34,F6:F29)," ")</f>
        <v xml:space="preserve"> </v>
      </c>
      <c r="G34" s="75" t="str">
        <f>IFERROR(AVERAGEIF($C6:$C29,A34,G6:G29)," ")</f>
        <v xml:space="preserve"> </v>
      </c>
      <c r="H34" s="76" t="str">
        <f>IFERROR(AVERAGEIF($C6:$C29,A34,H6:H29)," ")</f>
        <v xml:space="preserve"> </v>
      </c>
      <c r="I34" s="62"/>
      <c r="J34" s="62"/>
      <c r="L34" s="22"/>
      <c r="M34" s="22"/>
      <c r="N34" s="22"/>
      <c r="O34" s="22"/>
      <c r="P34" s="230"/>
      <c r="Q34" s="231"/>
      <c r="R34" s="231"/>
      <c r="S34" s="231"/>
      <c r="T34" s="231"/>
      <c r="U34" s="231"/>
      <c r="V34" s="231"/>
      <c r="W34" s="231"/>
      <c r="X34" s="231"/>
      <c r="Y34" s="231"/>
      <c r="Z34" s="232"/>
      <c r="AA34" s="22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</row>
    <row r="35" spans="1:218" ht="20.75" customHeight="1" thickBot="1">
      <c r="A35" s="83" t="str">
        <f>'Valeurs Règlement Campagne'!A7</f>
        <v>1 cible de 80 cm</v>
      </c>
      <c r="B35" s="70">
        <f>'Valeurs Règlement Campagne'!B7+'Valeurs Règlement Campagne'!C7</f>
        <v>6</v>
      </c>
      <c r="C35" s="71">
        <f>COUNTIFS($C6:$C29,A35,E6:E29,C31)</f>
        <v>0</v>
      </c>
      <c r="D35" s="84">
        <f>COUNTIFS($C6:$C29,A35,E6:E29,D31)</f>
        <v>0</v>
      </c>
      <c r="E35" s="85" t="str">
        <f t="shared" si="5"/>
        <v>manque</v>
      </c>
      <c r="F35" s="86" t="str">
        <f>IFERROR(AVERAGEIF($C6:$C29,A35,F6:F29)," ")</f>
        <v xml:space="preserve"> </v>
      </c>
      <c r="G35" s="87" t="str">
        <f>IFERROR(AVERAGEIF($C6:$C29,A35,G6:G29)," ")</f>
        <v xml:space="preserve"> </v>
      </c>
      <c r="H35" s="88" t="str">
        <f>IFERROR(AVERAGEIF($C6:$C29,A35,H6:H29)," ")</f>
        <v xml:space="preserve"> </v>
      </c>
      <c r="I35" s="62"/>
      <c r="J35" s="6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</row>
    <row r="36" spans="1:218" ht="20.75" customHeight="1" thickBot="1">
      <c r="A36" s="89"/>
      <c r="B36" s="90">
        <f>SUM(B32:B35)</f>
        <v>24</v>
      </c>
      <c r="C36" s="90">
        <f>SUM(C32:C35)</f>
        <v>0</v>
      </c>
      <c r="D36" s="90">
        <f>SUM(D32:D35)</f>
        <v>0</v>
      </c>
      <c r="F36" s="25" t="s">
        <v>8</v>
      </c>
      <c r="G36" s="31" t="s">
        <v>8</v>
      </c>
      <c r="H36" s="68" t="s">
        <v>8</v>
      </c>
      <c r="I36" s="62"/>
      <c r="J36" s="6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</row>
    <row r="37" spans="1:218" ht="20" customHeight="1" thickBot="1">
      <c r="C37" s="61"/>
      <c r="E37" s="67" t="s">
        <v>40</v>
      </c>
      <c r="F37" s="74">
        <f>SUM(F6:F29)</f>
        <v>0</v>
      </c>
      <c r="G37" s="75">
        <f>SUM(G6:G29)</f>
        <v>0</v>
      </c>
      <c r="H37" s="76">
        <f>SUM(H6:H29)</f>
        <v>0</v>
      </c>
      <c r="I37" s="62"/>
      <c r="J37" s="62"/>
    </row>
    <row r="38" spans="1:218" ht="20" customHeight="1" thickBot="1">
      <c r="A38" s="91" t="s">
        <v>50</v>
      </c>
      <c r="B38" s="139" t="str">
        <f>IF('Valeurs Règlement Campagne'!$L$14="OUI","Active","Inactive")</f>
        <v>Active</v>
      </c>
      <c r="C38" s="140"/>
      <c r="E38" s="92" t="s">
        <v>23</v>
      </c>
      <c r="F38" s="74">
        <f>SUMIF(E6:E29, "Inconnues", F6:F29)</f>
        <v>0</v>
      </c>
      <c r="G38" s="75">
        <f>SUMIF(E6:E29, "Inconnues", G6:G29)</f>
        <v>0</v>
      </c>
      <c r="H38" s="76">
        <f>SUMIF(E6:E29, "Inconnues", H6:H29)</f>
        <v>0</v>
      </c>
      <c r="I38" s="62"/>
      <c r="J38" s="62"/>
    </row>
    <row r="39" spans="1:218" ht="24" customHeight="1" thickBot="1">
      <c r="B39" s="141" t="s">
        <v>41</v>
      </c>
      <c r="C39" s="142"/>
      <c r="D39" s="93">
        <f>'Valeurs Règlement Campagne'!D10</f>
        <v>300</v>
      </c>
      <c r="E39" s="94">
        <f>'Valeurs Règlement Campagne'!E10</f>
        <v>330</v>
      </c>
      <c r="F39" s="79" t="str">
        <f>IF(AND(F38&gt;=D39,F38&lt;=E39),"ok","hors fourchette")</f>
        <v>hors fourchette</v>
      </c>
      <c r="I39" s="62"/>
      <c r="J39" s="62"/>
    </row>
    <row r="40" spans="1:218" ht="23" customHeight="1" thickBot="1">
      <c r="B40" s="145" t="s">
        <v>42</v>
      </c>
      <c r="C40" s="136"/>
      <c r="D40" s="93">
        <f>'Valeurs Règlement Campagne'!D11</f>
        <v>220</v>
      </c>
      <c r="E40" s="94">
        <f>'Valeurs Règlement Campagne'!E11</f>
        <v>244</v>
      </c>
      <c r="G40" s="79" t="str">
        <f>IF(AND(G38&gt;=D40,G38&lt;=E40),"ok","hors fourchette")</f>
        <v>hors fourchette</v>
      </c>
      <c r="I40" s="62"/>
      <c r="J40" s="62"/>
    </row>
    <row r="41" spans="1:218" ht="24" customHeight="1" thickBot="1">
      <c r="B41" s="143" t="s">
        <v>49</v>
      </c>
      <c r="C41" s="144"/>
      <c r="D41" s="93">
        <f>'Valeurs Règlement Campagne'!D12</f>
        <v>192</v>
      </c>
      <c r="E41" s="94">
        <f>'Valeurs Règlement Campagne'!E12</f>
        <v>212</v>
      </c>
      <c r="H41" s="79" t="str">
        <f>IF(AND(H38&gt;=D41,H38&lt;=E41),"ok","hors fourchette")</f>
        <v>hors fourchette</v>
      </c>
      <c r="I41" s="62"/>
      <c r="J41" s="62"/>
    </row>
    <row r="42" spans="1:218" ht="20" customHeight="1">
      <c r="I42" s="62"/>
      <c r="J42" s="62"/>
    </row>
    <row r="43" spans="1:218" ht="20" customHeight="1">
      <c r="I43" s="62"/>
      <c r="J43" s="62"/>
    </row>
  </sheetData>
  <sheetProtection sheet="1" selectLockedCells="1"/>
  <mergeCells count="139">
    <mergeCell ref="AF25:AG25"/>
    <mergeCell ref="AF26:AG26"/>
    <mergeCell ref="AF27:AG27"/>
    <mergeCell ref="AF28:AG28"/>
    <mergeCell ref="AF29:AG29"/>
    <mergeCell ref="Z2:AG3"/>
    <mergeCell ref="U2:Y3"/>
    <mergeCell ref="L3:M3"/>
    <mergeCell ref="N3:O3"/>
    <mergeCell ref="P3:Q3"/>
    <mergeCell ref="S3:T3"/>
    <mergeCell ref="L2:T2"/>
    <mergeCell ref="AF16:AG16"/>
    <mergeCell ref="AF17:AG17"/>
    <mergeCell ref="AF18:AG18"/>
    <mergeCell ref="AF19:AG19"/>
    <mergeCell ref="AF20:AG20"/>
    <mergeCell ref="AF21:AG21"/>
    <mergeCell ref="AF22:AG22"/>
    <mergeCell ref="AF23:AG23"/>
    <mergeCell ref="AF24:AG24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2:A4"/>
    <mergeCell ref="B2:B4"/>
    <mergeCell ref="C2:D4"/>
    <mergeCell ref="E2:E4"/>
    <mergeCell ref="F2:J3"/>
    <mergeCell ref="C9:D9"/>
    <mergeCell ref="Z9:AA9"/>
    <mergeCell ref="AB9:AC9"/>
    <mergeCell ref="AD9:AE9"/>
    <mergeCell ref="C10:D10"/>
    <mergeCell ref="Z10:AA10"/>
    <mergeCell ref="AB10:AC10"/>
    <mergeCell ref="AD10:AE10"/>
    <mergeCell ref="C7:D7"/>
    <mergeCell ref="Z7:AA7"/>
    <mergeCell ref="AB7:AC7"/>
    <mergeCell ref="AD7:AE7"/>
    <mergeCell ref="C8:D8"/>
    <mergeCell ref="AH2:AH3"/>
    <mergeCell ref="C5:D5"/>
    <mergeCell ref="Z5:AA5"/>
    <mergeCell ref="AB5:AC5"/>
    <mergeCell ref="AD5:AE5"/>
    <mergeCell ref="C6:D6"/>
    <mergeCell ref="Z6:AA6"/>
    <mergeCell ref="AB6:AC6"/>
    <mergeCell ref="AD6:AE6"/>
    <mergeCell ref="AF5:AG5"/>
    <mergeCell ref="AF6:AG6"/>
    <mergeCell ref="Z8:AA8"/>
    <mergeCell ref="AB8:AC8"/>
    <mergeCell ref="AD8:AE8"/>
    <mergeCell ref="C13:D13"/>
    <mergeCell ref="Z13:AA13"/>
    <mergeCell ref="AB13:AC13"/>
    <mergeCell ref="AD13:AE13"/>
    <mergeCell ref="C14:D14"/>
    <mergeCell ref="Z14:AA14"/>
    <mergeCell ref="AB14:AC14"/>
    <mergeCell ref="AD14:AE14"/>
    <mergeCell ref="C11:D11"/>
    <mergeCell ref="Z11:AA11"/>
    <mergeCell ref="AB11:AC11"/>
    <mergeCell ref="AD11:AE11"/>
    <mergeCell ref="C12:D12"/>
    <mergeCell ref="Z12:AA12"/>
    <mergeCell ref="AB12:AC12"/>
    <mergeCell ref="AD12:AE12"/>
    <mergeCell ref="C17:D17"/>
    <mergeCell ref="Z17:AA17"/>
    <mergeCell ref="AB17:AC17"/>
    <mergeCell ref="AD17:AE17"/>
    <mergeCell ref="C18:D18"/>
    <mergeCell ref="Z18:AA18"/>
    <mergeCell ref="AB18:AC18"/>
    <mergeCell ref="AD18:AE18"/>
    <mergeCell ref="C15:D15"/>
    <mergeCell ref="Z15:AA15"/>
    <mergeCell ref="AB15:AC15"/>
    <mergeCell ref="AD15:AE15"/>
    <mergeCell ref="C16:D16"/>
    <mergeCell ref="Z16:AA16"/>
    <mergeCell ref="AB16:AC16"/>
    <mergeCell ref="AD16:AE16"/>
    <mergeCell ref="C21:D21"/>
    <mergeCell ref="Z21:AA21"/>
    <mergeCell ref="AB21:AC21"/>
    <mergeCell ref="AD21:AE21"/>
    <mergeCell ref="C22:D22"/>
    <mergeCell ref="Z22:AA22"/>
    <mergeCell ref="AB22:AC22"/>
    <mergeCell ref="AD22:AE22"/>
    <mergeCell ref="C19:D19"/>
    <mergeCell ref="Z19:AA19"/>
    <mergeCell ref="AB19:AC19"/>
    <mergeCell ref="AD19:AE19"/>
    <mergeCell ref="C20:D20"/>
    <mergeCell ref="Z20:AA20"/>
    <mergeCell ref="AB20:AC20"/>
    <mergeCell ref="AD20:AE20"/>
    <mergeCell ref="C25:D25"/>
    <mergeCell ref="Z25:AA25"/>
    <mergeCell ref="AB25:AC25"/>
    <mergeCell ref="AD25:AE25"/>
    <mergeCell ref="C26:D26"/>
    <mergeCell ref="Z26:AA26"/>
    <mergeCell ref="AB26:AC26"/>
    <mergeCell ref="AD26:AE26"/>
    <mergeCell ref="C23:D23"/>
    <mergeCell ref="Z23:AA23"/>
    <mergeCell ref="AB23:AC23"/>
    <mergeCell ref="AD23:AE23"/>
    <mergeCell ref="C24:D24"/>
    <mergeCell ref="Z24:AA24"/>
    <mergeCell ref="AB24:AC24"/>
    <mergeCell ref="AD24:AE24"/>
    <mergeCell ref="P32:Z34"/>
    <mergeCell ref="C29:D29"/>
    <mergeCell ref="Z29:AA29"/>
    <mergeCell ref="AB29:AC29"/>
    <mergeCell ref="AD29:AE29"/>
    <mergeCell ref="C27:D27"/>
    <mergeCell ref="Z27:AA27"/>
    <mergeCell ref="AB27:AC27"/>
    <mergeCell ref="AD27:AE27"/>
    <mergeCell ref="C28:D28"/>
    <mergeCell ref="Z28:AA28"/>
    <mergeCell ref="AB28:AC28"/>
    <mergeCell ref="AD28:AE28"/>
  </mergeCells>
  <conditionalFormatting sqref="B38">
    <cfRule type="expression" dxfId="60" priority="18">
      <formula>$B$38="Inactive"</formula>
    </cfRule>
    <cfRule type="expression" dxfId="59" priority="19">
      <formula>$B$38="active"</formula>
    </cfRule>
  </conditionalFormatting>
  <conditionalFormatting sqref="I5">
    <cfRule type="expression" dxfId="50" priority="8">
      <formula>LEFT(C5,1)="4"</formula>
    </cfRule>
  </conditionalFormatting>
  <conditionalFormatting sqref="I6:I29">
    <cfRule type="expression" dxfId="49" priority="9" stopIfTrue="1">
      <formula>OR($AH6="Manque orange",$AH6="Obligatoire")</formula>
    </cfRule>
    <cfRule type="expression" dxfId="48" priority="10">
      <formula>$AH6="Possible"</formula>
    </cfRule>
    <cfRule type="expression" dxfId="47" priority="11">
      <formula>$AH6=""</formula>
    </cfRule>
  </conditionalFormatting>
  <conditionalFormatting sqref="U5:Y29">
    <cfRule type="containsText" dxfId="46" priority="14" stopIfTrue="1" operator="containsText" text="Doublon">
      <formula>NOT(ISERROR(SEARCH("Doublon",U5)))</formula>
    </cfRule>
    <cfRule type="containsText" dxfId="45" priority="15" operator="containsText" text="FAUX">
      <formula>NOT(ISERROR(SEARCH("FAUX",U5)))</formula>
    </cfRule>
    <cfRule type="containsText" dxfId="44" priority="17" operator="containsText" text="VRAI">
      <formula>NOT(ISERROR(SEARCH("VRAI",U5)))</formula>
    </cfRule>
  </conditionalFormatting>
  <conditionalFormatting sqref="Z5:Z29 AB5:AB29">
    <cfRule type="containsText" dxfId="43" priority="30" operator="containsText" text="ok">
      <formula>NOT(ISERROR(SEARCH("ok",Z5)))</formula>
    </cfRule>
  </conditionalFormatting>
  <conditionalFormatting sqref="AD5:AD29">
    <cfRule type="containsText" dxfId="41" priority="12" operator="containsText" text="ok">
      <formula>NOT(ISERROR(SEARCH("ok",AD5)))</formula>
    </cfRule>
  </conditionalFormatting>
  <conditionalFormatting sqref="AF5:AF29">
    <cfRule type="containsText" dxfId="39" priority="1" operator="containsText" text="ok">
      <formula>NOT(ISERROR(SEARCH("ok",AF5)))</formula>
    </cfRule>
  </conditionalFormatting>
  <conditionalFormatting sqref="AH5:AH29">
    <cfRule type="expression" dxfId="37" priority="20">
      <formula>$AH5="Obligatoire"</formula>
    </cfRule>
    <cfRule type="expression" dxfId="36" priority="21">
      <formula>$AH5="possible"</formula>
    </cfRule>
    <cfRule type="expression" dxfId="35" priority="22">
      <formula>$AH5="Manque Orange"</formula>
    </cfRule>
  </conditionalFormatting>
  <pageMargins left="0.98425196850393704" right="0.98425196850393704" top="0.98425196850393704" bottom="0.98425196850393704" header="0.23622047244094491" footer="0.23622047244094491"/>
  <pageSetup scale="53" orientation="landscape" r:id="rId1"/>
  <headerFooter>
    <oddFooter>&amp;C&amp;"Helvetica Neue,Regular"&amp;12&amp;K000000&amp;P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" stopIfTrue="1" operator="containsText" id="{C25A6C4F-49E6-9B40-A0FD-5CF2E3D8F6DE}">
            <xm:f>NOT(ISERROR(SEARCH("ok",E32)))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31" operator="notContains" id="{8E62FD74-E37A-2F4A-89CC-7055A9A60593}">
            <xm:f>ISERROR(SEARCH("ok",E32))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E32:E35</xm:sqref>
        </x14:conditionalFormatting>
        <x14:conditionalFormatting xmlns:xm="http://schemas.microsoft.com/office/excel/2006/main">
          <x14:cfRule type="containsText" priority="27" stopIfTrue="1" operator="containsText" id="{EF5272C7-1DA9-1040-A23F-CBFB21895FD6}">
            <xm:f>NOT(ISERROR(SEARCH("ok",F39)))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28" operator="notContains" id="{44025BB2-D85D-6B47-9D7C-FA8E08AB80F1}">
            <xm:f>ISERROR(SEARCH("ok",F39))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F39</xm:sqref>
        </x14:conditionalFormatting>
        <x14:conditionalFormatting xmlns:xm="http://schemas.microsoft.com/office/excel/2006/main">
          <x14:cfRule type="containsText" priority="25" stopIfTrue="1" operator="containsText" id="{395BC73D-1C3D-454C-A650-19E9DECAEA0C}">
            <xm:f>NOT(ISERROR(SEARCH("ok",G40)))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26" operator="notContains" id="{E83E464D-896E-0847-AC48-7056F57EC8A5}">
            <xm:f>ISERROR(SEARCH("ok",G40))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G40</xm:sqref>
        </x14:conditionalFormatting>
        <x14:conditionalFormatting xmlns:xm="http://schemas.microsoft.com/office/excel/2006/main">
          <x14:cfRule type="containsText" priority="23" stopIfTrue="1" operator="containsText" id="{F5E3FA74-4B67-2F48-9E46-9344263B6429}">
            <xm:f>NOT(ISERROR(SEARCH("ok",H41)))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24" operator="notContains" id="{D731C15D-B7E2-5F4C-A1B1-9616785E1186}">
            <xm:f>ISERROR(SEARCH("ok",H41))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H41</xm:sqref>
        </x14:conditionalFormatting>
        <x14:conditionalFormatting xmlns:xm="http://schemas.microsoft.com/office/excel/2006/main">
          <x14:cfRule type="containsText" priority="32" operator="containsText" id="{ABE77297-6A6D-A540-8763-86234F4050D0}">
            <xm:f>NOT(ISERROR(SEARCH("faux",Z5)))</xm:f>
            <xm:f>"faux"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Z5:Z29 AB5:AB29</xm:sqref>
        </x14:conditionalFormatting>
        <x14:conditionalFormatting xmlns:xm="http://schemas.microsoft.com/office/excel/2006/main">
          <x14:cfRule type="containsText" priority="13" operator="containsText" id="{4E5367F9-1FA3-8F48-A7D8-A2D2C7FAA1C7}">
            <xm:f>NOT(ISERROR(SEARCH("faux",AD5)))</xm:f>
            <xm:f>"faux"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AD5:AD29</xm:sqref>
        </x14:conditionalFormatting>
        <x14:conditionalFormatting xmlns:xm="http://schemas.microsoft.com/office/excel/2006/main">
          <x14:cfRule type="containsText" priority="2" operator="containsText" id="{575E95B4-31A0-3744-8557-C3F8DEAE8738}">
            <xm:f>NOT(ISERROR(SEARCH("faux",AF5)))</xm:f>
            <xm:f>"faux"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AF5:AF29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02DF63C-F19E-614D-A0AC-B94311E035FC}">
          <x14:formula1>
            <xm:f>'Valeurs Règlement Campagne'!$B$3:$C$3</xm:f>
          </x14:formula1>
          <xm:sqref>E5:E29</xm:sqref>
        </x14:dataValidation>
        <x14:dataValidation type="list" allowBlank="1" showErrorMessage="1" xr:uid="{6BAF7BEB-8ADE-1B4F-9C29-58BE32BF3D6C}">
          <x14:formula1>
            <xm:f>'Valeurs Règlement Campagne'!$A$4:$A$7</xm:f>
          </x14:formula1>
          <xm:sqref>C5</xm:sqref>
        </x14:dataValidation>
        <x14:dataValidation type="list" allowBlank="1" showInputMessage="1" showErrorMessage="1" xr:uid="{C317D6A4-5456-CF4C-9293-FB213F8FDCB0}">
          <x14:formula1>
            <xm:f>'Valeurs Règlement Campagne'!$A$4:$A$7</xm:f>
          </x14:formula1>
          <xm:sqref>C6:C29 D7:D29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HE43"/>
  <sheetViews>
    <sheetView showGridLines="0" tabSelected="1" zoomScale="143" zoomScaleNormal="75" workbookViewId="0">
      <pane xSplit="1" ySplit="4" topLeftCell="B5" activePane="bottomRight" state="frozen"/>
      <selection pane="topRight"/>
      <selection pane="bottomLeft"/>
      <selection pane="bottomRight" activeCell="B6" sqref="B6"/>
    </sheetView>
  </sheetViews>
  <sheetFormatPr baseColWidth="10" defaultColWidth="16.33203125" defaultRowHeight="20" customHeight="1"/>
  <cols>
    <col min="1" max="1" width="13.5" style="23" bestFit="1" customWidth="1"/>
    <col min="2" max="2" width="35.33203125" style="23" customWidth="1"/>
    <col min="3" max="3" width="8.83203125" style="23" bestFit="1" customWidth="1"/>
    <col min="4" max="4" width="7" style="61" bestFit="1" customWidth="1"/>
    <col min="5" max="5" width="8.83203125" style="61" bestFit="1" customWidth="1"/>
    <col min="6" max="8" width="7.6640625" style="23" bestFit="1" customWidth="1"/>
    <col min="9" max="10" width="6.33203125" style="23" bestFit="1" customWidth="1"/>
    <col min="11" max="11" width="2.6640625" style="23" customWidth="1"/>
    <col min="12" max="13" width="5.5" style="23" bestFit="1" customWidth="1"/>
    <col min="14" max="14" width="5.5" style="23" customWidth="1"/>
    <col min="15" max="15" width="4.5" style="23" bestFit="1" customWidth="1"/>
    <col min="16" max="16" width="4.5" style="23" customWidth="1"/>
    <col min="17" max="17" width="5" style="23" bestFit="1" customWidth="1"/>
    <col min="18" max="20" width="5" style="23" customWidth="1"/>
    <col min="21" max="21" width="12.6640625" style="23" customWidth="1"/>
    <col min="22" max="23" width="5.6640625" style="23" bestFit="1" customWidth="1"/>
    <col min="24" max="25" width="4.83203125" style="23" bestFit="1" customWidth="1"/>
    <col min="26" max="26" width="5.5" style="23" bestFit="1" customWidth="1"/>
    <col min="27" max="27" width="4.1640625" style="23" bestFit="1" customWidth="1"/>
    <col min="28" max="28" width="4.1640625" style="22" bestFit="1" customWidth="1"/>
    <col min="29" max="31" width="4.83203125" style="22" bestFit="1" customWidth="1"/>
    <col min="32" max="33" width="4.83203125" style="22" customWidth="1"/>
    <col min="34" max="34" width="9.5" style="22" bestFit="1" customWidth="1"/>
    <col min="35" max="213" width="16.33203125" style="22"/>
    <col min="214" max="16384" width="16.33203125" style="23"/>
  </cols>
  <sheetData>
    <row r="1" spans="1:34" ht="27.75" customHeight="1" thickBot="1">
      <c r="A1" s="276" t="str">
        <f>Organisateur!A1</f>
        <v>Lieu - date - numéro projet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135"/>
      <c r="AA1" s="135"/>
      <c r="AB1" s="135"/>
    </row>
    <row r="2" spans="1:34" ht="27.75" customHeight="1" thickBot="1">
      <c r="A2" s="277" t="s">
        <v>4</v>
      </c>
      <c r="B2" s="279" t="s">
        <v>18</v>
      </c>
      <c r="C2" s="282" t="s">
        <v>17</v>
      </c>
      <c r="D2" s="283"/>
      <c r="E2" s="286" t="s">
        <v>31</v>
      </c>
      <c r="F2" s="242" t="s">
        <v>14</v>
      </c>
      <c r="G2" s="243"/>
      <c r="H2" s="243"/>
      <c r="I2" s="243"/>
      <c r="J2" s="244"/>
      <c r="K2" s="24"/>
      <c r="L2" s="248" t="s">
        <v>32</v>
      </c>
      <c r="M2" s="249"/>
      <c r="N2" s="249"/>
      <c r="O2" s="249"/>
      <c r="P2" s="249"/>
      <c r="Q2" s="249"/>
      <c r="R2" s="249"/>
      <c r="S2" s="249"/>
      <c r="T2" s="250"/>
      <c r="U2" s="251" t="s">
        <v>20</v>
      </c>
      <c r="V2" s="252"/>
      <c r="W2" s="252"/>
      <c r="X2" s="252"/>
      <c r="Y2" s="253"/>
      <c r="Z2" s="251" t="s">
        <v>19</v>
      </c>
      <c r="AA2" s="252"/>
      <c r="AB2" s="252"/>
      <c r="AC2" s="252"/>
      <c r="AD2" s="252"/>
      <c r="AE2" s="252"/>
      <c r="AF2" s="252"/>
      <c r="AG2" s="253"/>
      <c r="AH2" s="257" t="s">
        <v>52</v>
      </c>
    </row>
    <row r="3" spans="1:34" ht="32.75" customHeight="1" thickBot="1">
      <c r="A3" s="278"/>
      <c r="B3" s="280"/>
      <c r="C3" s="284"/>
      <c r="D3" s="285"/>
      <c r="E3" s="287"/>
      <c r="F3" s="245"/>
      <c r="G3" s="246"/>
      <c r="H3" s="246"/>
      <c r="I3" s="246"/>
      <c r="J3" s="247"/>
      <c r="K3" s="24"/>
      <c r="L3" s="259" t="s">
        <v>1</v>
      </c>
      <c r="M3" s="260"/>
      <c r="N3" s="261" t="s">
        <v>2</v>
      </c>
      <c r="O3" s="262"/>
      <c r="P3" s="263" t="s">
        <v>3</v>
      </c>
      <c r="Q3" s="264"/>
      <c r="R3" s="37" t="s">
        <v>43</v>
      </c>
      <c r="S3" s="265" t="s">
        <v>55</v>
      </c>
      <c r="T3" s="266"/>
      <c r="U3" s="254"/>
      <c r="V3" s="255"/>
      <c r="W3" s="255"/>
      <c r="X3" s="255"/>
      <c r="Y3" s="256"/>
      <c r="Z3" s="254"/>
      <c r="AA3" s="255"/>
      <c r="AB3" s="255"/>
      <c r="AC3" s="255"/>
      <c r="AD3" s="255"/>
      <c r="AE3" s="255"/>
      <c r="AF3" s="255"/>
      <c r="AG3" s="256"/>
      <c r="AH3" s="258"/>
    </row>
    <row r="4" spans="1:34" ht="19.75" customHeight="1" thickBot="1">
      <c r="A4" s="278"/>
      <c r="B4" s="280"/>
      <c r="C4" s="284"/>
      <c r="D4" s="285"/>
      <c r="E4" s="288"/>
      <c r="F4" s="98" t="s">
        <v>1</v>
      </c>
      <c r="G4" s="99" t="s">
        <v>2</v>
      </c>
      <c r="H4" s="100" t="s">
        <v>3</v>
      </c>
      <c r="I4" s="101" t="s">
        <v>43</v>
      </c>
      <c r="J4" s="209" t="s">
        <v>55</v>
      </c>
      <c r="K4" s="30"/>
      <c r="L4" s="205" t="s">
        <v>5</v>
      </c>
      <c r="M4" s="206" t="s">
        <v>6</v>
      </c>
      <c r="N4" s="205" t="s">
        <v>5</v>
      </c>
      <c r="O4" s="207" t="s">
        <v>6</v>
      </c>
      <c r="P4" s="208" t="s">
        <v>5</v>
      </c>
      <c r="Q4" s="207" t="s">
        <v>6</v>
      </c>
      <c r="R4" s="206" t="s">
        <v>6</v>
      </c>
      <c r="S4" s="205" t="s">
        <v>5</v>
      </c>
      <c r="T4" s="207" t="s">
        <v>6</v>
      </c>
      <c r="U4" s="25" t="s">
        <v>1</v>
      </c>
      <c r="V4" s="31" t="s">
        <v>2</v>
      </c>
      <c r="W4" s="324" t="s">
        <v>3</v>
      </c>
      <c r="X4" s="325" t="s">
        <v>43</v>
      </c>
      <c r="Y4" s="326" t="s">
        <v>55</v>
      </c>
      <c r="Z4" s="32" t="s">
        <v>1</v>
      </c>
      <c r="AA4" s="33" t="s">
        <v>2</v>
      </c>
      <c r="AB4" s="34" t="s">
        <v>2</v>
      </c>
      <c r="AC4" s="35" t="s">
        <v>3</v>
      </c>
      <c r="AD4" s="36" t="s">
        <v>3</v>
      </c>
      <c r="AE4" s="37" t="s">
        <v>43</v>
      </c>
      <c r="AF4" s="36" t="s">
        <v>3</v>
      </c>
      <c r="AG4" s="204" t="s">
        <v>55</v>
      </c>
      <c r="AH4" s="38" t="s">
        <v>43</v>
      </c>
    </row>
    <row r="5" spans="1:34" ht="19.75" customHeight="1" thickBot="1">
      <c r="A5" s="118" t="s">
        <v>21</v>
      </c>
      <c r="B5" s="119" t="str">
        <f>IF(NOT(ISBLANK(Organisateur!B5)),Organisateur!B5," ")</f>
        <v>Près du greffe</v>
      </c>
      <c r="C5" s="281" t="str">
        <f>IF(NOT(ISBLANK(Organisateur!C5)),Organisateur!C5," ")</f>
        <v>1 cible de 60 cm</v>
      </c>
      <c r="D5" s="281"/>
      <c r="E5" s="117" t="str">
        <f>IF(NOT(ISBLANK(Organisateur!E5)),Organisateur!E5," ")</f>
        <v>Connues</v>
      </c>
      <c r="F5" s="120">
        <f>IF(NOT(ISBLANK(Organisateur!F5)),Organisateur!F5," ")</f>
        <v>35</v>
      </c>
      <c r="G5" s="121">
        <f>IF(NOT(ISBLANK(Organisateur!G5)),Organisateur!G5," ")</f>
        <v>30</v>
      </c>
      <c r="H5" s="122">
        <f>IF(NOT(ISBLANK(Organisateur!H5)),Organisateur!H5," ")</f>
        <v>25</v>
      </c>
      <c r="I5" s="123">
        <f>IF(NOT(ISBLANK(Organisateur!I5)),Organisateur!I5," ")</f>
        <v>20</v>
      </c>
      <c r="J5" s="200">
        <f>IF(NOT(ISBLANK(Organisateur!J5)),Organisateur!J5," ")</f>
        <v>17</v>
      </c>
      <c r="K5" s="39"/>
      <c r="L5" s="40">
        <f>IF($E5=" "," ",IF($E5=$D$31,VLOOKUP($C5,'Valeurs Règlement Campagne'!$A$4:$AB$7,14,FALSE),VLOOKUP($C5,'Valeurs Règlement Campagne'!$A$4:$M$7,4,FALSE)))</f>
        <v>35</v>
      </c>
      <c r="M5" s="41">
        <f>IF($E5=" "," ",IF($E5=$D$31,VLOOKUP($C5,'Valeurs Règlement Campagne'!$A$4:$AB$7,16,FALSE),VLOOKUP($C5,'Valeurs Règlement Campagne'!$A$4:$AB$7,5,FALSE)))</f>
        <v>45</v>
      </c>
      <c r="N5" s="40">
        <f>IF($E5=" "," ",IF($E5=$D$31,VLOOKUP($C5,'Valeurs Règlement Campagne'!$A$4:$AB$7,17,FALSE),VLOOKUP($C5,'Valeurs Règlement Campagne'!$A$4:$AB$7,6,FALSE)))</f>
        <v>30</v>
      </c>
      <c r="O5" s="42">
        <f>IF($E5=" "," ",IF($E5=$D$31,VLOOKUP($C5,'Valeurs Règlement Campagne'!$A$4:$AB$7,19,FALSE),VLOOKUP($C5,'Valeurs Règlement Campagne'!$A$4:$AB$7,7,FALSE)))</f>
        <v>40</v>
      </c>
      <c r="P5" s="43">
        <f>IF($E5=" "," ",IF($E5=$D$31,VLOOKUP($C5,'Valeurs Règlement Campagne'!$A$4:$AB$7,20,FALSE),VLOOKUP($C5,'Valeurs Règlement Campagne'!$A$4:$AB$7,8,FALSE)))</f>
        <v>20</v>
      </c>
      <c r="Q5" s="42">
        <f>IF($E5=" "," ",IF($E5=$D$31,VLOOKUP($C5,'Valeurs Règlement Campagne'!$A$4:$AB$7,22,FALSE),VLOOKUP($C5,'Valeurs Règlement Campagne'!$A$4:$AB$7,9,FALSE)))</f>
        <v>30</v>
      </c>
      <c r="R5" s="42">
        <f>IF($E5=" "," ",IF($E5=$D$31,VLOOKUP($C5,'Valeurs Règlement Campagne'!$A$4:$AB$7,25,FALSE),VLOOKUP($C5,'Valeurs Règlement Campagne'!$A$4:$AB$7,11,FALSE)))</f>
        <v>30</v>
      </c>
      <c r="S5" s="40">
        <f>IF($E5=" "," ",IF($E5=$D$31,VLOOKUP($C5,'Valeurs Règlement Campagne'!$A$4:$AB$7,26,FALSE),VLOOKUP($C5,'Valeurs Règlement Campagne'!$A$4:$AB$7,12,FALSE)))</f>
        <v>15</v>
      </c>
      <c r="T5" s="41">
        <f>IF($E5=" "," ",IF($E5=$D$31,VLOOKUP($C5,'Valeurs Règlement Campagne'!$A$4:$AB$7,28,FALSE),VLOOKUP($C5,'Valeurs Règlement Campagne'!$A$4:$AB$7,13,FALSE)))</f>
        <v>20</v>
      </c>
      <c r="U5" s="95" t="b" cm="1">
        <f t="array" ref="U5">IF(C5=" "," ",IF(AND(E5="Connues",AH5&lt;&gt;"",COUNTIFS(AH$6:AH$29,AH5,C$6:C$29,C5)&gt;1),"Doublon",IF(AND(E5="Connues",SUMPRODUCT((E$6:E$29="Connues")*(C$6:C$29=C5)*(ROW($6:$29)&lt;&gt;ROW())*(IFERROR(ABS(F$6:F$29-F5)&lt;=2,FALSE))*((IFERROR(ABS(F$6:F$29-VLOOKUP(C5,'Valeurs Règlement Campagne'!$A$4:$AB$7,14,FALSE))&lt;=2,FALSE))+(IFERROR(ABS(F$6:F$29-VLOOKUP(C5,'Valeurs Règlement Campagne'!$A$4:$AB$7,15,FALSE))&lt;=2,FALSE))+(IFERROR(ABS(F$6:F$29-VLOOKUP(C5,'Valeurs Règlement Campagne'!$A$4:$AB$7,16,FALSE))&lt;=2,FALSE))))&gt;0),"Doublon",IF($C5=" "," ",IF(F5=" "," ",IF(E5="Inconnues",AND(F5&gt;=L5,F5&lt;=M5),IF(AND('Valeurs Règlement Campagne'!$L$14="OUI",E5="Connues"),AND(F5&gt;=L5-2,F5&lt;=M5+2),OR(F5=L5,F5=L5+5,F5=M5))))))))</f>
        <v>1</v>
      </c>
      <c r="V5" s="96" t="b" cm="1">
        <f t="array" ref="V5">IF(C5=" "," ",IF(AND(E5="Connues",AH5&lt;&gt;"",COUNTIFS(AH$6:AH$29,AH5,C$6:C$29,C5)&gt;1),"Doublon",IF(AND(E5="Connues",SUMPRODUCT((E$6:E$29="Connues")*(C$6:C$29=C5)*(ROW($6:$29)&lt;&gt;ROW())*(IFERROR(ABS(G$6:G$29-G5)&lt;=2,FALSE))*((IFERROR(ABS(G$6:G$29-VLOOKUP(C5,'Valeurs Règlement Campagne'!$A$4:$AB$7,17,FALSE))&lt;=2,FALSE))+(IFERROR(ABS(G$6:G$29-VLOOKUP(C5,'Valeurs Règlement Campagne'!$A$4:$AB$7,18,FALSE))&lt;=2,FALSE))+(IFERROR(ABS(G$6:G$29-VLOOKUP(C5,'Valeurs Règlement Campagne'!$A$4:$AB$7,19,FALSE))&lt;=2,FALSE))))&gt;0),"Doublon",IF($C5=" "," ",IF(G5=" "," ",IF(E5="Inconnues",AND(G5&gt;=N5,G5&lt;=O5),IF(AND('Valeurs Règlement Campagne'!$L$14="OUI",E5="Connues"),AND(G5&gt;=N5-2,G5&lt;=O5+2),OR(G5=N5,G5=N5+5,G5=O5))))))))</f>
        <v>1</v>
      </c>
      <c r="W5" s="96" t="b" cm="1">
        <f t="array" ref="W5">IF(C5=" "," ",IF(AND(E5="Connues",AE5&lt;&gt;"",COUNTIFS(AE$6:AE$29,AE5,C$6:C$29,C5)&gt;1),"Doublon",IF(AND(E5="Connues",SUMPRODUCT((E$6:E$29="Connues")*(C$6:C$29=C5)*(ROW($6:$29)&lt;&gt;ROW())*(IFERROR(ABS(H$6:H$29-H5)&lt;=2,FALSE))*((IFERROR(ABS(H$6:H$29-VLOOKUP(C5,'Valeurs Règlement Campagne'!$A$4:$AB$7,20,FALSE))&lt;=2,FALSE))+(IFERROR(ABS(H$6:H$29-VLOOKUP(C5,'Valeurs Règlement Campagne'!$A$4:$AB$7,21,FALSE))&lt;=2,FALSE))+(IFERROR(ABS(H$6:H$29-VLOOKUP(C5,'Valeurs Règlement Campagne'!$A$4:$AB$7,22,FALSE))&lt;=2,FALSE))))&gt;0),"Doublon",IF($C5=" "," ",IF(H5=" "," ",IF(E5="Inconnues",AND(H5&gt;=P5,H5&lt;=Q5),IF(AND('Valeurs Règlement Campagne'!$L$14="OUI",E5="Connues"),AND(H5&gt;=P5-2,H5&lt;=Q5+2),OR(H5=P5,H5=P5+5,H5=P5))))))))</f>
        <v>1</v>
      </c>
      <c r="X5" s="96" t="b" cm="1">
        <f t="array" ref="X5">IF(C5=" "," ",IF(AND(E5="Connues",AH5&lt;&gt;"",COUNTIFS(AH$6:AH$29,AH5,C$6:C$29,C5)&gt;1),"Doublon",IF(AND(E5="Connues",SUMPRODUCT((E$6:E$29="Connues")*(C$6:C$29=C5)*(ROW($6:$29)&lt;&gt;ROW())*(IFERROR(ABS(I$6:I$29-I5)&lt;=2,FALSE))*((IFERROR(ABS(I$6:I$29-VLOOKUP(C5,'Valeurs Règlement Campagne'!$A$4:$AB$7,23,FALSE))&lt;=2,FALSE))+(IFERROR(ABS(I$6:I$29-VLOOKUP(C5,'Valeurs Règlement Campagne'!$A$4:$AB$7,24,FALSE))&lt;=2,FALSE))+(IFERROR(ABS(I$6:I$29-VLOOKUP(C5,'Valeurs Règlement Campagne'!$A$4:$AB$7,25,FALSE))&lt;=2,FALSE))))&gt;0),"Doublon",IF($C5=" "," ",IF(I5=" "," ",IF(E5="Inconnues",AND(I5&gt;=P5,I5&lt;=R5),IF(AND('Valeurs Règlement Campagne'!$L$14="OUI",E5="Connues"),AND(I5&gt;=P5-2,I5&lt;=R5+2),OR(I5=P5,I5=P5+5,I5=P5))))))))</f>
        <v>1</v>
      </c>
      <c r="Y5" s="328" t="b" cm="1">
        <f t="array" ref="Y5">IF(C5=" "," ",IF(AND(E5="Connues",AH5&lt;&gt;"",COUNTIFS(AH$6:AH$29,AH5,C$6:C$29,C5)&gt;1),"Doublon",IF(AND(E5="Connues",SUMPRODUCT((E$6:E$29="Connues")*(C$6:C$29=C5)*(ROW($6:$29)&lt;&gt;ROW())*(IFERROR(ABS(J$6:J$29-J5)&lt;=2,FALSE))*((IFERROR(ABS(J$6:J$29-VLOOKUP(C5,'Valeurs Règlement Campagne'!$A$4:$AB$7,26,FALSE))&lt;=2,FALSE))+(IFERROR(ABS(J$6:J$29-VLOOKUP(C5,'Valeurs Règlement Campagne'!$A$4:$AB$7,27,FALSE))&lt;=2,FALSE))+(IFERROR(ABS(J$6:J$29-VLOOKUP(C5,'Valeurs Règlement Campagne'!$A$4:$AB$7,28,FALSE))&lt;=2,FALSE))))&gt;0),"Doublon",IF($C5=" "," ",IF(J5=" "," ",IF(E5="Inconnues",AND(J5&gt;=S5,J5&lt;=T5),IF(AND('Valeurs Règlement Campagne'!$L$14="OUI",E5="Connues"),AND(J5&gt;=S5-2,J5&lt;=T5+2),OR(J5=S5,J5=S5+5,J5=S5))))))))</f>
        <v>1</v>
      </c>
      <c r="Z5" s="318" t="str">
        <f t="shared" ref="Z5:Z29" si="0">IF(OR(U5="Doublon",V5="Doublon"),"Doublon",IF(F5=" "," ",IF(F5&gt;=G5,IF(AND(U5=TRUE,V5=TRUE),"ok","faux"),"faux")))</f>
        <v>ok</v>
      </c>
      <c r="AA5" s="237"/>
      <c r="AB5" s="237" t="str">
        <f t="shared" ref="AB5:AB29" si="1">IF(OR(V5="Doublon",W5="Doublon"),"Doublon",IF(G5=" "," ",IF(G5&gt;=H5,IF(AND(V5=TRUE,W5=TRUE),"ok","faux"),"faux")))</f>
        <v>ok</v>
      </c>
      <c r="AC5" s="237"/>
      <c r="AD5" s="237" t="str">
        <f t="shared" ref="AD5:AD29" si="2">IF(OR(W5="Doublon",X5="Doublon"),"Doublon",IF(OR(H5=" ",I5=" ")," ",IF(H5&gt;=I5,IF(AND(W5=TRUE,X5=TRUE),"ok","faux"),"faux")))</f>
        <v>ok</v>
      </c>
      <c r="AE5" s="237"/>
      <c r="AF5" s="237" t="str">
        <f t="shared" ref="AF5:AF29" si="3">IF(OR(X5="Doublon",Y5="Doublon"),"Doublon",IF(OR(I5=" ",J5=" ")," ",IF(I5&gt;=J5,IF(AND(X5=TRUE,Y5=TRUE),"ok","faux"),"faux")))</f>
        <v>ok</v>
      </c>
      <c r="AG5" s="238"/>
      <c r="AH5" s="97" t="str">
        <f t="shared" ref="AH5:AH29" si="4">IF(AND(E5="Inconnues",LEFT(C5,1)="1",I5&gt;0),"Obligatoire",
IF(AND(E5="Connues",LEFT(C5,1)="1",I5&gt;=0),"Possible",
IF(AND(E5="Inconnues",LEFT(C5,1)="1",I5=0),"Manque orange","")))</f>
        <v>Possible</v>
      </c>
    </row>
    <row r="6" spans="1:34" ht="20.75" customHeight="1">
      <c r="A6" s="129">
        <v>1</v>
      </c>
      <c r="B6" s="132" t="str">
        <f>IF(NOT(ISBLANK(Organisateur!B6)),Organisateur!B6," ")</f>
        <v xml:space="preserve"> </v>
      </c>
      <c r="C6" s="275" t="str">
        <f>IF(NOT(ISBLANK(Organisateur!C6)),Organisateur!C6," ")</f>
        <v xml:space="preserve"> </v>
      </c>
      <c r="D6" s="275"/>
      <c r="E6" s="126" t="str">
        <f>IF(NOT(ISBLANK(Organisateur!E6)),Organisateur!E6," ")</f>
        <v xml:space="preserve"> </v>
      </c>
      <c r="F6" s="114" t="str">
        <f>IF(NOT(ISBLANK(Organisateur!F6)),Organisateur!F6," ")</f>
        <v xml:space="preserve"> </v>
      </c>
      <c r="G6" s="114" t="str">
        <f>IF(NOT(ISBLANK(Organisateur!G6)),Organisateur!G6," ")</f>
        <v xml:space="preserve"> </v>
      </c>
      <c r="H6" s="114" t="str">
        <f>IF(NOT(ISBLANK(Organisateur!H6)),Organisateur!H6," ")</f>
        <v xml:space="preserve"> </v>
      </c>
      <c r="I6" s="114" t="str">
        <f>IF(NOT(ISBLANK(Organisateur!I6)),Organisateur!I6," ")</f>
        <v xml:space="preserve"> </v>
      </c>
      <c r="J6" s="114" t="str">
        <f>IF(NOT(ISBLANK(Organisateur!J6)),Organisateur!J6," ")</f>
        <v xml:space="preserve"> </v>
      </c>
      <c r="K6" s="45"/>
      <c r="L6" s="46" t="str">
        <f>IF($E6=" "," ",IF($E6=$D$31,VLOOKUP($C6,'Valeurs Règlement Campagne'!$A$4:$AB$7,14,FALSE),VLOOKUP($C6,'Valeurs Règlement Campagne'!$A$4:$M$7,4,FALSE)))</f>
        <v xml:space="preserve"> </v>
      </c>
      <c r="M6" s="47" t="str">
        <f>IF($E6=" "," ",IF($E6=$D$31,VLOOKUP($C6,'Valeurs Règlement Campagne'!$A$4:$AB$7,16,FALSE),VLOOKUP($C6,'Valeurs Règlement Campagne'!$A$4:$AB$7,5,FALSE)))</f>
        <v xml:space="preserve"> </v>
      </c>
      <c r="N6" s="46" t="str">
        <f>IF($E6=" "," ",IF($E6=$D$31,VLOOKUP($C6,'Valeurs Règlement Campagne'!$A$4:$AB$7,17,FALSE),VLOOKUP($C6,'Valeurs Règlement Campagne'!$A$4:$AB$7,6,FALSE)))</f>
        <v xml:space="preserve"> </v>
      </c>
      <c r="O6" s="48" t="str">
        <f>IF($E6=" "," ",IF($E6=$D$31,VLOOKUP($C6,'Valeurs Règlement Campagne'!$A$4:$AB$7,19,FALSE),VLOOKUP($C6,'Valeurs Règlement Campagne'!$A$4:$AB$7,7,FALSE)))</f>
        <v xml:space="preserve"> </v>
      </c>
      <c r="P6" s="49" t="str">
        <f>IF($E6=" "," ",IF($E6=$D$31,VLOOKUP($C6,'Valeurs Règlement Campagne'!$A$4:$AB$7,20,FALSE),VLOOKUP($C6,'Valeurs Règlement Campagne'!$A$4:$AB$7,8,FALSE)))</f>
        <v xml:space="preserve"> </v>
      </c>
      <c r="Q6" s="48" t="str">
        <f>IF($E6=" "," ",IF($E6=$D$31,VLOOKUP($C6,'Valeurs Règlement Campagne'!$A$4:$AB$7,22,FALSE),VLOOKUP($C6,'Valeurs Règlement Campagne'!$A$4:$AB$7,9,FALSE)))</f>
        <v xml:space="preserve"> </v>
      </c>
      <c r="R6" s="50" t="str">
        <f>IF($E6=" "," ",IF($E6=$D$31,VLOOKUP($C6,'Valeurs Règlement Campagne'!$A$4:$AB$7,25,FALSE),VLOOKUP($C6,'Valeurs Règlement Campagne'!$A$4:$AB$7,11,FALSE)))</f>
        <v xml:space="preserve"> </v>
      </c>
      <c r="S6" s="46" t="str">
        <f>IF($E6=" "," ",IF($E6=$D$31,VLOOKUP($C6,'Valeurs Règlement Campagne'!$A$4:$AB$7,26,FALSE),VLOOKUP($C6,'Valeurs Règlement Campagne'!$A$4:$AB$7,12,FALSE)))</f>
        <v xml:space="preserve"> </v>
      </c>
      <c r="T6" s="47" t="str">
        <f>IF($E6=" "," ",IF($E6=$D$31,VLOOKUP($C6,'Valeurs Règlement Campagne'!$A$4:$AB$7,28,FALSE),VLOOKUP($C6,'Valeurs Règlement Campagne'!$A$4:$AB$7,13,FALSE)))</f>
        <v xml:space="preserve"> </v>
      </c>
      <c r="U6" s="124" t="str" cm="1">
        <f t="array" ref="U6">IF(C6=" "," ",IF(AND(E6="Connues",AH6&lt;&gt;"",COUNTIFS(AH$6:AH$29,AH6,C$6:C$29,C6)&gt;1),"Doublon",IF(AND(E6="Connues",SUMPRODUCT((E$6:E$29="Connues")*(C$6:C$29=C6)*(ROW($6:$29)&lt;&gt;ROW())*(IFERROR(ABS(F$6:F$29-F6)&lt;=2,FALSE))*((IFERROR(ABS(F$6:F$29-VLOOKUP(C6,'Valeurs Règlement Campagne'!$A$4:$AB$7,14,FALSE))&lt;=2,FALSE))+(IFERROR(ABS(F$6:F$29-VLOOKUP(C6,'Valeurs Règlement Campagne'!$A$4:$AB$7,15,FALSE))&lt;=2,FALSE))+(IFERROR(ABS(F$6:F$29-VLOOKUP(C6,'Valeurs Règlement Campagne'!$A$4:$AB$7,16,FALSE))&lt;=2,FALSE))))&gt;0),"Doublon",IF($C6=" "," ",IF(F6=" "," ",IF(E6="Inconnues",AND(F6&gt;=L6,F6&lt;=M6),IF(AND('Valeurs Règlement Campagne'!$L$14="OUI",E6="Connues"),AND(F6&gt;=L6-2,F6&lt;=M6+2),OR(F6=L6,F6=L6+5,F6=M6))))))))</f>
        <v xml:space="preserve"> </v>
      </c>
      <c r="V6" s="125" t="str" cm="1">
        <f t="array" ref="V6">IF(C6=" "," ",IF(AND(E6="Connues",AH6&lt;&gt;"",COUNTIFS(AH$6:AH$29,AH6,C$6:C$29,C6)&gt;1),"Doublon",IF(AND(E6="Connues",SUMPRODUCT((E$6:E$29="Connues")*(C$6:C$29=C6)*(ROW($6:$29)&lt;&gt;ROW())*(IFERROR(ABS(G$6:G$29-G6)&lt;=2,FALSE))*((IFERROR(ABS(G$6:G$29-VLOOKUP(C6,'Valeurs Règlement Campagne'!$A$4:$AB$7,17,FALSE))&lt;=2,FALSE))+(IFERROR(ABS(G$6:G$29-VLOOKUP(C6,'Valeurs Règlement Campagne'!$A$4:$AB$7,18,FALSE))&lt;=2,FALSE))+(IFERROR(ABS(G$6:G$29-VLOOKUP(C6,'Valeurs Règlement Campagne'!$A$4:$AB$7,19,FALSE))&lt;=2,FALSE))))&gt;0),"Doublon",IF($C6=" "," ",IF(G6=" "," ",IF(E6="Inconnues",AND(G6&gt;=N6,G6&lt;=O6),IF(AND('Valeurs Règlement Campagne'!$L$14="OUI",E6="Connues"),AND(G6&gt;=N6-2,G6&lt;=O6+2),OR(G6=N6,G6=N6+5,G6=O6))))))))</f>
        <v xml:space="preserve"> </v>
      </c>
      <c r="W6" s="125" t="str" cm="1">
        <f t="array" ref="W6">IF(C6=" "," ",IF(AND(E6="Connues",AE6&lt;&gt;"",COUNTIFS(AE$6:AE$29,AE6,C$6:C$29,C6)&gt;1),"Doublon",IF(AND(E6="Connues",SUMPRODUCT((E$6:E$29="Connues")*(C$6:C$29=C6)*(ROW($6:$29)&lt;&gt;ROW())*(IFERROR(ABS(H$6:H$29-H6)&lt;=2,FALSE))*((IFERROR(ABS(H$6:H$29-VLOOKUP(C6,'Valeurs Règlement Campagne'!$A$4:$AB$7,20,FALSE))&lt;=2,FALSE))+(IFERROR(ABS(H$6:H$29-VLOOKUP(C6,'Valeurs Règlement Campagne'!$A$4:$AB$7,21,FALSE))&lt;=2,FALSE))+(IFERROR(ABS(H$6:H$29-VLOOKUP(C6,'Valeurs Règlement Campagne'!$A$4:$AB$7,22,FALSE))&lt;=2,FALSE))))&gt;0),"Doublon",IF($C6=" "," ",IF(H6=" "," ",IF(E6="Inconnues",AND(H6&gt;=P6,H6&lt;=Q6),IF(AND('Valeurs Règlement Campagne'!$L$14="OUI",E6="Connues"),AND(H6&gt;=P6-2,H6&lt;=Q6+2),OR(H6=P6,H6=P6+5,H6=P6))))))))</f>
        <v xml:space="preserve"> </v>
      </c>
      <c r="X6" s="125" t="str" cm="1">
        <f t="array" ref="X6">IF(C6=" "," ",IF(AND(E6="Connues",AH6&lt;&gt;"",COUNTIFS(AH$6:AH$29,AH6,C$6:C$29,C6)&gt;1),"Doublon",IF(AND(E6="Connues",SUMPRODUCT((E$6:E$29="Connues")*(C$6:C$29=C6)*(ROW($6:$29)&lt;&gt;ROW())*(IFERROR(ABS(I$6:I$29-I6)&lt;=2,FALSE))*((IFERROR(ABS(I$6:I$29-VLOOKUP(C6,'Valeurs Règlement Campagne'!$A$4:$AB$7,23,FALSE))&lt;=2,FALSE))+(IFERROR(ABS(I$6:I$29-VLOOKUP(C6,'Valeurs Règlement Campagne'!$A$4:$AB$7,24,FALSE))&lt;=2,FALSE))+(IFERROR(ABS(I$6:I$29-VLOOKUP(C6,'Valeurs Règlement Campagne'!$A$4:$AB$7,25,FALSE))&lt;=2,FALSE))))&gt;0),"Doublon",IF($C6=" "," ",IF(I6=" "," ",IF(E6="Inconnues",AND(I6&gt;=P6,I6&lt;=R6),IF(AND('Valeurs Règlement Campagne'!$L$14="OUI",E6="Connues"),AND(I6&gt;=P6-2,I6&lt;=R6+2),OR(I6=P6,I6=P6+5,I6=P6))))))))</f>
        <v xml:space="preserve"> </v>
      </c>
      <c r="Y6" s="327" t="str" cm="1">
        <f t="array" ref="Y6">IF(C6=" "," ",IF(AND(E6="Connues",AH6&lt;&gt;"",COUNTIFS(AH$6:AH$29,AH6,C$6:C$29,C6)&gt;1),"Doublon",IF(AND(E6="Connues",SUMPRODUCT((E$6:E$29="Connues")*(C$6:C$29=C6)*(ROW($6:$29)&lt;&gt;ROW())*(IFERROR(ABS(J$6:J$29-J6)&lt;=2,FALSE))*((IFERROR(ABS(J$6:J$29-VLOOKUP(C6,'Valeurs Règlement Campagne'!$A$4:$AB$7,26,FALSE))&lt;=2,FALSE))+(IFERROR(ABS(J$6:J$29-VLOOKUP(C6,'Valeurs Règlement Campagne'!$A$4:$AB$7,27,FALSE))&lt;=2,FALSE))+(IFERROR(ABS(J$6:J$29-VLOOKUP(C6,'Valeurs Règlement Campagne'!$A$4:$AB$7,28,FALSE))&lt;=2,FALSE))))&gt;0),"Doublon",IF($C6=" "," ",IF(J6=" "," ",IF(E6="Inconnues",AND(J6&gt;=S6,J6&lt;=T6),IF(AND('Valeurs Règlement Campagne'!$L$14="OUI",E6="Connues"),AND(J6&gt;=S6-2,J6&lt;=T6+2),OR(J6=S6,J6=S6+5,J6=S6))))))))</f>
        <v xml:space="preserve"> </v>
      </c>
      <c r="Z6" s="319" t="str">
        <f t="shared" si="0"/>
        <v xml:space="preserve"> </v>
      </c>
      <c r="AA6" s="240"/>
      <c r="AB6" s="240" t="str">
        <f t="shared" si="1"/>
        <v xml:space="preserve"> </v>
      </c>
      <c r="AC6" s="240"/>
      <c r="AD6" s="240" t="str">
        <f t="shared" si="2"/>
        <v xml:space="preserve"> </v>
      </c>
      <c r="AE6" s="240"/>
      <c r="AF6" s="240" t="str">
        <f t="shared" si="3"/>
        <v xml:space="preserve"> </v>
      </c>
      <c r="AG6" s="241"/>
      <c r="AH6" s="51" t="str">
        <f t="shared" si="4"/>
        <v/>
      </c>
    </row>
    <row r="7" spans="1:34" ht="20.75" customHeight="1">
      <c r="A7" s="130">
        <v>2</v>
      </c>
      <c r="B7" s="133" t="str">
        <f>IF(NOT(ISBLANK(Organisateur!B7)),Organisateur!B7," ")</f>
        <v xml:space="preserve"> </v>
      </c>
      <c r="C7" s="269" t="str">
        <f>IF(NOT(ISBLANK(Organisateur!C7)),Organisateur!C7," ")</f>
        <v xml:space="preserve"> </v>
      </c>
      <c r="D7" s="269"/>
      <c r="E7" s="127" t="str">
        <f>IF(NOT(ISBLANK(Organisateur!E7)),Organisateur!E7," ")</f>
        <v xml:space="preserve"> </v>
      </c>
      <c r="F7" s="115" t="str">
        <f>IF(NOT(ISBLANK(Organisateur!F7)),Organisateur!F7," ")</f>
        <v xml:space="preserve"> </v>
      </c>
      <c r="G7" s="115" t="str">
        <f>IF(NOT(ISBLANK(Organisateur!G7)),Organisateur!G7," ")</f>
        <v xml:space="preserve"> </v>
      </c>
      <c r="H7" s="115" t="str">
        <f>IF(NOT(ISBLANK(Organisateur!H7)),Organisateur!H7," ")</f>
        <v xml:space="preserve"> </v>
      </c>
      <c r="I7" s="115" t="str">
        <f>IF(NOT(ISBLANK(Organisateur!I7)),Organisateur!I7," ")</f>
        <v xml:space="preserve"> </v>
      </c>
      <c r="J7" s="115" t="str">
        <f>IF(NOT(ISBLANK(Organisateur!J7)),Organisateur!J7," ")</f>
        <v xml:space="preserve"> </v>
      </c>
      <c r="K7" s="45"/>
      <c r="L7" s="46" t="str">
        <f>IF($E7=" "," ",IF($E7=$D$31,VLOOKUP($C7,'Valeurs Règlement Campagne'!$A$4:$AB$7,14,FALSE),VLOOKUP($C7,'Valeurs Règlement Campagne'!$A$4:$M$7,4,FALSE)))</f>
        <v xml:space="preserve"> </v>
      </c>
      <c r="M7" s="47" t="str">
        <f>IF($E7=" "," ",IF($E7=$D$31,VLOOKUP($C7,'Valeurs Règlement Campagne'!$A$4:$AB$7,16,FALSE),VLOOKUP($C7,'Valeurs Règlement Campagne'!$A$4:$AB$7,5,FALSE)))</f>
        <v xml:space="preserve"> </v>
      </c>
      <c r="N7" s="46" t="str">
        <f>IF($E7=" "," ",IF($E7=$D$31,VLOOKUP($C7,'Valeurs Règlement Campagne'!$A$4:$AB$7,17,FALSE),VLOOKUP($C7,'Valeurs Règlement Campagne'!$A$4:$AB$7,6,FALSE)))</f>
        <v xml:space="preserve"> </v>
      </c>
      <c r="O7" s="48" t="str">
        <f>IF($E7=" "," ",IF($E7=$D$31,VLOOKUP($C7,'Valeurs Règlement Campagne'!$A$4:$AB$7,19,FALSE),VLOOKUP($C7,'Valeurs Règlement Campagne'!$A$4:$AB$7,7,FALSE)))</f>
        <v xml:space="preserve"> </v>
      </c>
      <c r="P7" s="49" t="str">
        <f>IF($E7=" "," ",IF($E7=$D$31,VLOOKUP($C7,'Valeurs Règlement Campagne'!$A$4:$AB$7,20,FALSE),VLOOKUP($C7,'Valeurs Règlement Campagne'!$A$4:$AB$7,8,FALSE)))</f>
        <v xml:space="preserve"> </v>
      </c>
      <c r="Q7" s="48" t="str">
        <f>IF($E7=" "," ",IF($E7=$D$31,VLOOKUP($C7,'Valeurs Règlement Campagne'!$A$4:$AB$7,22,FALSE),VLOOKUP($C7,'Valeurs Règlement Campagne'!$A$4:$AB$7,9,FALSE)))</f>
        <v xml:space="preserve"> </v>
      </c>
      <c r="R7" s="52" t="str">
        <f>IF($E7=" "," ",IF($E7=$D$31,VLOOKUP($C7,'Valeurs Règlement Campagne'!$A$4:$AB$7,25,FALSE),VLOOKUP($C7,'Valeurs Règlement Campagne'!$A$4:$AB$7,11,FALSE)))</f>
        <v xml:space="preserve"> </v>
      </c>
      <c r="S7" s="46" t="str">
        <f>IF($E7=" "," ",IF($E7=$D$31,VLOOKUP($C7,'Valeurs Règlement Campagne'!$A$4:$AB$7,26,FALSE),VLOOKUP($C7,'Valeurs Règlement Campagne'!$A$4:$AB$7,12,FALSE)))</f>
        <v xml:space="preserve"> </v>
      </c>
      <c r="T7" s="47" t="str">
        <f>IF($E7=" "," ",IF($E7=$D$31,VLOOKUP($C7,'Valeurs Règlement Campagne'!$A$4:$AB$7,28,FALSE),VLOOKUP($C7,'Valeurs Règlement Campagne'!$A$4:$AB$7,13,FALSE)))</f>
        <v xml:space="preserve"> </v>
      </c>
      <c r="U7" s="53" t="str" cm="1">
        <f t="array" ref="U7">IF(C7=" "," ",IF(AND(E7="Connues",AH7&lt;&gt;"",COUNTIFS(AH$6:AH$29,AH7,C$6:C$29,C7)&gt;1),"Doublon",IF(AND(E7="Connues",SUMPRODUCT((E$6:E$29="Connues")*(C$6:C$29=C7)*(ROW($6:$29)&lt;&gt;ROW())*(IFERROR(ABS(F$6:F$29-F7)&lt;=2,FALSE))*((IFERROR(ABS(F$6:F$29-VLOOKUP(C7,'Valeurs Règlement Campagne'!$A$4:$AB$7,14,FALSE))&lt;=2,FALSE))+(IFERROR(ABS(F$6:F$29-VLOOKUP(C7,'Valeurs Règlement Campagne'!$A$4:$AB$7,15,FALSE))&lt;=2,FALSE))+(IFERROR(ABS(F$6:F$29-VLOOKUP(C7,'Valeurs Règlement Campagne'!$A$4:$AB$7,16,FALSE))&lt;=2,FALSE))))&gt;0),"Doublon",IF($C7=" "," ",IF(F7=" "," ",IF(E7="Inconnues",AND(F7&gt;=L7,F7&lt;=M7),IF(AND('Valeurs Règlement Campagne'!$L$14="OUI",E7="Connues"),AND(F7&gt;=L7-2,F7&lt;=M7+2),OR(F7=L7,F7=L7+5,F7=M7))))))))</f>
        <v xml:space="preserve"> </v>
      </c>
      <c r="V7" s="54" t="str" cm="1">
        <f t="array" ref="V7">IF(C7=" "," ",IF(AND(E7="Connues",AH7&lt;&gt;"",COUNTIFS(AH$6:AH$29,AH7,C$6:C$29,C7)&gt;1),"Doublon",IF(AND(E7="Connues",SUMPRODUCT((E$6:E$29="Connues")*(C$6:C$29=C7)*(ROW($6:$29)&lt;&gt;ROW())*(IFERROR(ABS(G$6:G$29-G7)&lt;=2,FALSE))*((IFERROR(ABS(G$6:G$29-VLOOKUP(C7,'Valeurs Règlement Campagne'!$A$4:$AB$7,17,FALSE))&lt;=2,FALSE))+(IFERROR(ABS(G$6:G$29-VLOOKUP(C7,'Valeurs Règlement Campagne'!$A$4:$AB$7,18,FALSE))&lt;=2,FALSE))+(IFERROR(ABS(G$6:G$29-VLOOKUP(C7,'Valeurs Règlement Campagne'!$A$4:$AB$7,19,FALSE))&lt;=2,FALSE))))&gt;0),"Doublon",IF($C7=" "," ",IF(G7=" "," ",IF(E7="Inconnues",AND(G7&gt;=N7,G7&lt;=O7),IF(AND('Valeurs Règlement Campagne'!$L$14="OUI",E7="Connues"),AND(G7&gt;=N7-2,G7&lt;=O7+2),OR(G7=N7,G7=N7+5,G7=O7))))))))</f>
        <v xml:space="preserve"> </v>
      </c>
      <c r="W7" s="54" t="str" cm="1">
        <f t="array" ref="W7">IF(C7=" "," ",IF(AND(E7="Connues",AE7&lt;&gt;"",COUNTIFS(AE$6:AE$29,AE7,C$6:C$29,C7)&gt;1),"Doublon",IF(AND(E7="Connues",SUMPRODUCT((E$6:E$29="Connues")*(C$6:C$29=C7)*(ROW($6:$29)&lt;&gt;ROW())*(IFERROR(ABS(H$6:H$29-H7)&lt;=2,FALSE))*((IFERROR(ABS(H$6:H$29-VLOOKUP(C7,'Valeurs Règlement Campagne'!$A$4:$AB$7,20,FALSE))&lt;=2,FALSE))+(IFERROR(ABS(H$6:H$29-VLOOKUP(C7,'Valeurs Règlement Campagne'!$A$4:$AB$7,21,FALSE))&lt;=2,FALSE))+(IFERROR(ABS(H$6:H$29-VLOOKUP(C7,'Valeurs Règlement Campagne'!$A$4:$AB$7,22,FALSE))&lt;=2,FALSE))))&gt;0),"Doublon",IF($C7=" "," ",IF(H7=" "," ",IF(E7="Inconnues",AND(H7&gt;=P7,H7&lt;=Q7),IF(AND('Valeurs Règlement Campagne'!$L$14="OUI",E7="Connues"),AND(H7&gt;=P7-2,H7&lt;=Q7+2),OR(H7=P7,H7=P7+5,H7=P7))))))))</f>
        <v xml:space="preserve"> </v>
      </c>
      <c r="X7" s="54" t="str" cm="1">
        <f t="array" ref="X7">IF(C7=" "," ",IF(AND(E7="Connues",AH7&lt;&gt;"",COUNTIFS(AH$6:AH$29,AH7,C$6:C$29,C7)&gt;1),"Doublon",IF(AND(E7="Connues",SUMPRODUCT((E$6:E$29="Connues")*(C$6:C$29=C7)*(ROW($6:$29)&lt;&gt;ROW())*(IFERROR(ABS(I$6:I$29-I7)&lt;=2,FALSE))*((IFERROR(ABS(I$6:I$29-VLOOKUP(C7,'Valeurs Règlement Campagne'!$A$4:$AB$7,23,FALSE))&lt;=2,FALSE))+(IFERROR(ABS(I$6:I$29-VLOOKUP(C7,'Valeurs Règlement Campagne'!$A$4:$AB$7,24,FALSE))&lt;=2,FALSE))+(IFERROR(ABS(I$6:I$29-VLOOKUP(C7,'Valeurs Règlement Campagne'!$A$4:$AB$7,25,FALSE))&lt;=2,FALSE))))&gt;0),"Doublon",IF($C7=" "," ",IF(I7=" "," ",IF(E7="Inconnues",AND(I7&gt;=P7,I7&lt;=R7),IF(AND('Valeurs Règlement Campagne'!$L$14="OUI",E7="Connues"),AND(I7&gt;=P7-2,I7&lt;=R7+2),OR(I7=P7,I7=P7+5,I7=P7))))))))</f>
        <v xml:space="preserve"> </v>
      </c>
      <c r="Y7" s="322" t="str" cm="1">
        <f t="array" ref="Y7">IF(C7=" "," ",IF(AND(E7="Connues",AH7&lt;&gt;"",COUNTIFS(AH$6:AH$29,AH7,C$6:C$29,C7)&gt;1),"Doublon",IF(AND(E7="Connues",SUMPRODUCT((E$6:E$29="Connues")*(C$6:C$29=C7)*(ROW($6:$29)&lt;&gt;ROW())*(IFERROR(ABS(J$6:J$29-J7)&lt;=2,FALSE))*((IFERROR(ABS(J$6:J$29-VLOOKUP(C7,'Valeurs Règlement Campagne'!$A$4:$AB$7,26,FALSE))&lt;=2,FALSE))+(IFERROR(ABS(J$6:J$29-VLOOKUP(C7,'Valeurs Règlement Campagne'!$A$4:$AB$7,27,FALSE))&lt;=2,FALSE))+(IFERROR(ABS(J$6:J$29-VLOOKUP(C7,'Valeurs Règlement Campagne'!$A$4:$AB$7,28,FALSE))&lt;=2,FALSE))))&gt;0),"Doublon",IF($C7=" "," ",IF(J7=" "," ",IF(E7="Inconnues",AND(J7&gt;=S7,J7&lt;=T7),IF(AND('Valeurs Règlement Campagne'!$L$14="OUI",E7="Connues"),AND(J7&gt;=S7-2,J7&lt;=T7+2),OR(J7=S7,J7=S7+5,J7=S7))))))))</f>
        <v xml:space="preserve"> </v>
      </c>
      <c r="Z7" s="320" t="str">
        <f t="shared" si="0"/>
        <v xml:space="preserve"> </v>
      </c>
      <c r="AA7" s="233"/>
      <c r="AB7" s="233" t="str">
        <f t="shared" si="1"/>
        <v xml:space="preserve"> </v>
      </c>
      <c r="AC7" s="233"/>
      <c r="AD7" s="233" t="str">
        <f t="shared" si="2"/>
        <v xml:space="preserve"> </v>
      </c>
      <c r="AE7" s="233"/>
      <c r="AF7" s="233" t="str">
        <f t="shared" si="3"/>
        <v xml:space="preserve"> </v>
      </c>
      <c r="AG7" s="234"/>
      <c r="AH7" s="55" t="str">
        <f t="shared" si="4"/>
        <v/>
      </c>
    </row>
    <row r="8" spans="1:34" ht="20.75" customHeight="1">
      <c r="A8" s="130">
        <v>3</v>
      </c>
      <c r="B8" s="133" t="str">
        <f>IF(NOT(ISBLANK(Organisateur!B8)),Organisateur!B8," ")</f>
        <v xml:space="preserve"> </v>
      </c>
      <c r="C8" s="269" t="str">
        <f>IF(NOT(ISBLANK(Organisateur!C8)),Organisateur!C8," ")</f>
        <v xml:space="preserve"> </v>
      </c>
      <c r="D8" s="269"/>
      <c r="E8" s="127" t="str">
        <f>IF(NOT(ISBLANK(Organisateur!E8)),Organisateur!E8," ")</f>
        <v xml:space="preserve"> </v>
      </c>
      <c r="F8" s="115" t="str">
        <f>IF(NOT(ISBLANK(Organisateur!F8)),Organisateur!F8," ")</f>
        <v xml:space="preserve"> </v>
      </c>
      <c r="G8" s="115" t="str">
        <f>IF(NOT(ISBLANK(Organisateur!G8)),Organisateur!G8," ")</f>
        <v xml:space="preserve"> </v>
      </c>
      <c r="H8" s="115" t="str">
        <f>IF(NOT(ISBLANK(Organisateur!H8)),Organisateur!H8," ")</f>
        <v xml:space="preserve"> </v>
      </c>
      <c r="I8" s="115" t="str">
        <f>IF(NOT(ISBLANK(Organisateur!I8)),Organisateur!I8," ")</f>
        <v xml:space="preserve"> </v>
      </c>
      <c r="J8" s="115" t="str">
        <f>IF(NOT(ISBLANK(Organisateur!J8)),Organisateur!J8," ")</f>
        <v xml:space="preserve"> </v>
      </c>
      <c r="K8" s="45"/>
      <c r="L8" s="46" t="str">
        <f>IF($E8=" "," ",IF($E8=$D$31,VLOOKUP($C8,'Valeurs Règlement Campagne'!$A$4:$AB$7,14,FALSE),VLOOKUP($C8,'Valeurs Règlement Campagne'!$A$4:$M$7,4,FALSE)))</f>
        <v xml:space="preserve"> </v>
      </c>
      <c r="M8" s="47" t="str">
        <f>IF($E8=" "," ",IF($E8=$D$31,VLOOKUP($C8,'Valeurs Règlement Campagne'!$A$4:$AB$7,16,FALSE),VLOOKUP($C8,'Valeurs Règlement Campagne'!$A$4:$AB$7,5,FALSE)))</f>
        <v xml:space="preserve"> </v>
      </c>
      <c r="N8" s="46" t="str">
        <f>IF($E8=" "," ",IF($E8=$D$31,VLOOKUP($C8,'Valeurs Règlement Campagne'!$A$4:$AB$7,17,FALSE),VLOOKUP($C8,'Valeurs Règlement Campagne'!$A$4:$AB$7,6,FALSE)))</f>
        <v xml:space="preserve"> </v>
      </c>
      <c r="O8" s="48" t="str">
        <f>IF($E8=" "," ",IF($E8=$D$31,VLOOKUP($C8,'Valeurs Règlement Campagne'!$A$4:$AB$7,19,FALSE),VLOOKUP($C8,'Valeurs Règlement Campagne'!$A$4:$AB$7,7,FALSE)))</f>
        <v xml:space="preserve"> </v>
      </c>
      <c r="P8" s="49" t="str">
        <f>IF($E8=" "," ",IF($E8=$D$31,VLOOKUP($C8,'Valeurs Règlement Campagne'!$A$4:$AB$7,20,FALSE),VLOOKUP($C8,'Valeurs Règlement Campagne'!$A$4:$AB$7,8,FALSE)))</f>
        <v xml:space="preserve"> </v>
      </c>
      <c r="Q8" s="48" t="str">
        <f>IF($E8=" "," ",IF($E8=$D$31,VLOOKUP($C8,'Valeurs Règlement Campagne'!$A$4:$AB$7,22,FALSE),VLOOKUP($C8,'Valeurs Règlement Campagne'!$A$4:$AB$7,9,FALSE)))</f>
        <v xml:space="preserve"> </v>
      </c>
      <c r="R8" s="52" t="str">
        <f>IF($E8=" "," ",IF($E8=$D$31,VLOOKUP($C8,'Valeurs Règlement Campagne'!$A$4:$AB$7,25,FALSE),VLOOKUP($C8,'Valeurs Règlement Campagne'!$A$4:$AB$7,11,FALSE)))</f>
        <v xml:space="preserve"> </v>
      </c>
      <c r="S8" s="46" t="str">
        <f>IF($E8=" "," ",IF($E8=$D$31,VLOOKUP($C8,'Valeurs Règlement Campagne'!$A$4:$AB$7,26,FALSE),VLOOKUP($C8,'Valeurs Règlement Campagne'!$A$4:$AB$7,12,FALSE)))</f>
        <v xml:space="preserve"> </v>
      </c>
      <c r="T8" s="47" t="str">
        <f>IF($E8=" "," ",IF($E8=$D$31,VLOOKUP($C8,'Valeurs Règlement Campagne'!$A$4:$AB$7,28,FALSE),VLOOKUP($C8,'Valeurs Règlement Campagne'!$A$4:$AB$7,13,FALSE)))</f>
        <v xml:space="preserve"> </v>
      </c>
      <c r="U8" s="53" t="str" cm="1">
        <f t="array" ref="U8">IF(C8=" "," ",IF(AND(E8="Connues",AH8&lt;&gt;"",COUNTIFS(AH$6:AH$29,AH8,C$6:C$29,C8)&gt;1),"Doublon",IF(AND(E8="Connues",SUMPRODUCT((E$6:E$29="Connues")*(C$6:C$29=C8)*(ROW($6:$29)&lt;&gt;ROW())*(IFERROR(ABS(F$6:F$29-F8)&lt;=2,FALSE))*((IFERROR(ABS(F$6:F$29-VLOOKUP(C8,'Valeurs Règlement Campagne'!$A$4:$AB$7,14,FALSE))&lt;=2,FALSE))+(IFERROR(ABS(F$6:F$29-VLOOKUP(C8,'Valeurs Règlement Campagne'!$A$4:$AB$7,15,FALSE))&lt;=2,FALSE))+(IFERROR(ABS(F$6:F$29-VLOOKUP(C8,'Valeurs Règlement Campagne'!$A$4:$AB$7,16,FALSE))&lt;=2,FALSE))))&gt;0),"Doublon",IF($C8=" "," ",IF(F8=" "," ",IF(E8="Inconnues",AND(F8&gt;=L8,F8&lt;=M8),IF(AND('Valeurs Règlement Campagne'!$L$14="OUI",E8="Connues"),AND(F8&gt;=L8-2,F8&lt;=M8+2),OR(F8=L8,F8=L8+5,F8=M8))))))))</f>
        <v xml:space="preserve"> </v>
      </c>
      <c r="V8" s="54" t="str" cm="1">
        <f t="array" ref="V8">IF(C8=" "," ",IF(AND(E8="Connues",AH8&lt;&gt;"",COUNTIFS(AH$6:AH$29,AH8,C$6:C$29,C8)&gt;1),"Doublon",IF(AND(E8="Connues",SUMPRODUCT((E$6:E$29="Connues")*(C$6:C$29=C8)*(ROW($6:$29)&lt;&gt;ROW())*(IFERROR(ABS(G$6:G$29-G8)&lt;=2,FALSE))*((IFERROR(ABS(G$6:G$29-VLOOKUP(C8,'Valeurs Règlement Campagne'!$A$4:$AB$7,17,FALSE))&lt;=2,FALSE))+(IFERROR(ABS(G$6:G$29-VLOOKUP(C8,'Valeurs Règlement Campagne'!$A$4:$AB$7,18,FALSE))&lt;=2,FALSE))+(IFERROR(ABS(G$6:G$29-VLOOKUP(C8,'Valeurs Règlement Campagne'!$A$4:$AB$7,19,FALSE))&lt;=2,FALSE))))&gt;0),"Doublon",IF($C8=" "," ",IF(G8=" "," ",IF(E8="Inconnues",AND(G8&gt;=N8,G8&lt;=O8),IF(AND('Valeurs Règlement Campagne'!$L$14="OUI",E8="Connues"),AND(G8&gt;=N8-2,G8&lt;=O8+2),OR(G8=N8,G8=N8+5,G8=O8))))))))</f>
        <v xml:space="preserve"> </v>
      </c>
      <c r="W8" s="54" t="str" cm="1">
        <f t="array" ref="W8">IF(C8=" "," ",IF(AND(E8="Connues",AE8&lt;&gt;"",COUNTIFS(AE$6:AE$29,AE8,C$6:C$29,C8)&gt;1),"Doublon",IF(AND(E8="Connues",SUMPRODUCT((E$6:E$29="Connues")*(C$6:C$29=C8)*(ROW($6:$29)&lt;&gt;ROW())*(IFERROR(ABS(H$6:H$29-H8)&lt;=2,FALSE))*((IFERROR(ABS(H$6:H$29-VLOOKUP(C8,'Valeurs Règlement Campagne'!$A$4:$AB$7,20,FALSE))&lt;=2,FALSE))+(IFERROR(ABS(H$6:H$29-VLOOKUP(C8,'Valeurs Règlement Campagne'!$A$4:$AB$7,21,FALSE))&lt;=2,FALSE))+(IFERROR(ABS(H$6:H$29-VLOOKUP(C8,'Valeurs Règlement Campagne'!$A$4:$AB$7,22,FALSE))&lt;=2,FALSE))))&gt;0),"Doublon",IF($C8=" "," ",IF(H8=" "," ",IF(E8="Inconnues",AND(H8&gt;=P8,H8&lt;=Q8),IF(AND('Valeurs Règlement Campagne'!$L$14="OUI",E8="Connues"),AND(H8&gt;=P8-2,H8&lt;=Q8+2),OR(H8=P8,H8=P8+5,H8=P8))))))))</f>
        <v xml:space="preserve"> </v>
      </c>
      <c r="X8" s="54" t="str" cm="1">
        <f t="array" ref="X8">IF(C8=" "," ",IF(AND(E8="Connues",AH8&lt;&gt;"",COUNTIFS(AH$6:AH$29,AH8,C$6:C$29,C8)&gt;1),"Doublon",IF(AND(E8="Connues",SUMPRODUCT((E$6:E$29="Connues")*(C$6:C$29=C8)*(ROW($6:$29)&lt;&gt;ROW())*(IFERROR(ABS(I$6:I$29-I8)&lt;=2,FALSE))*((IFERROR(ABS(I$6:I$29-VLOOKUP(C8,'Valeurs Règlement Campagne'!$A$4:$AB$7,23,FALSE))&lt;=2,FALSE))+(IFERROR(ABS(I$6:I$29-VLOOKUP(C8,'Valeurs Règlement Campagne'!$A$4:$AB$7,24,FALSE))&lt;=2,FALSE))+(IFERROR(ABS(I$6:I$29-VLOOKUP(C8,'Valeurs Règlement Campagne'!$A$4:$AB$7,25,FALSE))&lt;=2,FALSE))))&gt;0),"Doublon",IF($C8=" "," ",IF(I8=" "," ",IF(E8="Inconnues",AND(I8&gt;=P8,I8&lt;=R8),IF(AND('Valeurs Règlement Campagne'!$L$14="OUI",E8="Connues"),AND(I8&gt;=P8-2,I8&lt;=R8+2),OR(I8=P8,I8=P8+5,I8=P8))))))))</f>
        <v xml:space="preserve"> </v>
      </c>
      <c r="Y8" s="322" t="str" cm="1">
        <f t="array" ref="Y8">IF(C8=" "," ",IF(AND(E8="Connues",AH8&lt;&gt;"",COUNTIFS(AH$6:AH$29,AH8,C$6:C$29,C8)&gt;1),"Doublon",IF(AND(E8="Connues",SUMPRODUCT((E$6:E$29="Connues")*(C$6:C$29=C8)*(ROW($6:$29)&lt;&gt;ROW())*(IFERROR(ABS(J$6:J$29-J8)&lt;=2,FALSE))*((IFERROR(ABS(J$6:J$29-VLOOKUP(C8,'Valeurs Règlement Campagne'!$A$4:$AB$7,26,FALSE))&lt;=2,FALSE))+(IFERROR(ABS(J$6:J$29-VLOOKUP(C8,'Valeurs Règlement Campagne'!$A$4:$AB$7,27,FALSE))&lt;=2,FALSE))+(IFERROR(ABS(J$6:J$29-VLOOKUP(C8,'Valeurs Règlement Campagne'!$A$4:$AB$7,28,FALSE))&lt;=2,FALSE))))&gt;0),"Doublon",IF($C8=" "," ",IF(J8=" "," ",IF(E8="Inconnues",AND(J8&gt;=S8,J8&lt;=T8),IF(AND('Valeurs Règlement Campagne'!$L$14="OUI",E8="Connues"),AND(J8&gt;=S8-2,J8&lt;=T8+2),OR(J8=S8,J8=S8+5,J8=S8))))))))</f>
        <v xml:space="preserve"> </v>
      </c>
      <c r="Z8" s="320" t="str">
        <f t="shared" si="0"/>
        <v xml:space="preserve"> </v>
      </c>
      <c r="AA8" s="233"/>
      <c r="AB8" s="233" t="str">
        <f t="shared" si="1"/>
        <v xml:space="preserve"> </v>
      </c>
      <c r="AC8" s="233"/>
      <c r="AD8" s="233" t="str">
        <f t="shared" si="2"/>
        <v xml:space="preserve"> </v>
      </c>
      <c r="AE8" s="233"/>
      <c r="AF8" s="233" t="str">
        <f t="shared" si="3"/>
        <v xml:space="preserve"> </v>
      </c>
      <c r="AG8" s="234"/>
      <c r="AH8" s="55" t="str">
        <f t="shared" si="4"/>
        <v/>
      </c>
    </row>
    <row r="9" spans="1:34" ht="20.75" customHeight="1">
      <c r="A9" s="130">
        <v>4</v>
      </c>
      <c r="B9" s="133" t="str">
        <f>IF(NOT(ISBLANK(Organisateur!B9)),Organisateur!B9," ")</f>
        <v xml:space="preserve"> </v>
      </c>
      <c r="C9" s="269" t="str">
        <f>IF(NOT(ISBLANK(Organisateur!C9)),Organisateur!C9," ")</f>
        <v xml:space="preserve"> </v>
      </c>
      <c r="D9" s="269"/>
      <c r="E9" s="127" t="str">
        <f>IF(NOT(ISBLANK(Organisateur!E9)),Organisateur!E9," ")</f>
        <v xml:space="preserve"> </v>
      </c>
      <c r="F9" s="115" t="str">
        <f>IF(NOT(ISBLANK(Organisateur!F9)),Organisateur!F9," ")</f>
        <v xml:space="preserve"> </v>
      </c>
      <c r="G9" s="115" t="str">
        <f>IF(NOT(ISBLANK(Organisateur!G9)),Organisateur!G9," ")</f>
        <v xml:space="preserve"> </v>
      </c>
      <c r="H9" s="115" t="str">
        <f>IF(NOT(ISBLANK(Organisateur!H9)),Organisateur!H9," ")</f>
        <v xml:space="preserve"> </v>
      </c>
      <c r="I9" s="115" t="str">
        <f>IF(NOT(ISBLANK(Organisateur!I9)),Organisateur!I9," ")</f>
        <v xml:space="preserve"> </v>
      </c>
      <c r="J9" s="115" t="str">
        <f>IF(NOT(ISBLANK(Organisateur!J9)),Organisateur!J9," ")</f>
        <v xml:space="preserve"> </v>
      </c>
      <c r="K9" s="45"/>
      <c r="L9" s="46" t="str">
        <f>IF($E9=" "," ",IF($E9=$D$31,VLOOKUP($C9,'Valeurs Règlement Campagne'!$A$4:$AB$7,14,FALSE),VLOOKUP($C9,'Valeurs Règlement Campagne'!$A$4:$M$7,4,FALSE)))</f>
        <v xml:space="preserve"> </v>
      </c>
      <c r="M9" s="47" t="str">
        <f>IF($E9=" "," ",IF($E9=$D$31,VLOOKUP($C9,'Valeurs Règlement Campagne'!$A$4:$AB$7,16,FALSE),VLOOKUP($C9,'Valeurs Règlement Campagne'!$A$4:$AB$7,5,FALSE)))</f>
        <v xml:space="preserve"> </v>
      </c>
      <c r="N9" s="46" t="str">
        <f>IF($E9=" "," ",IF($E9=$D$31,VLOOKUP($C9,'Valeurs Règlement Campagne'!$A$4:$AB$7,17,FALSE),VLOOKUP($C9,'Valeurs Règlement Campagne'!$A$4:$AB$7,6,FALSE)))</f>
        <v xml:space="preserve"> </v>
      </c>
      <c r="O9" s="48" t="str">
        <f>IF($E9=" "," ",IF($E9=$D$31,VLOOKUP($C9,'Valeurs Règlement Campagne'!$A$4:$AB$7,19,FALSE),VLOOKUP($C9,'Valeurs Règlement Campagne'!$A$4:$AB$7,7,FALSE)))</f>
        <v xml:space="preserve"> </v>
      </c>
      <c r="P9" s="49" t="str">
        <f>IF($E9=" "," ",IF($E9=$D$31,VLOOKUP($C9,'Valeurs Règlement Campagne'!$A$4:$AB$7,20,FALSE),VLOOKUP($C9,'Valeurs Règlement Campagne'!$A$4:$AB$7,8,FALSE)))</f>
        <v xml:space="preserve"> </v>
      </c>
      <c r="Q9" s="48" t="str">
        <f>IF($E9=" "," ",IF($E9=$D$31,VLOOKUP($C9,'Valeurs Règlement Campagne'!$A$4:$AB$7,22,FALSE),VLOOKUP($C9,'Valeurs Règlement Campagne'!$A$4:$AB$7,9,FALSE)))</f>
        <v xml:space="preserve"> </v>
      </c>
      <c r="R9" s="52" t="str">
        <f>IF($E9=" "," ",IF($E9=$D$31,VLOOKUP($C9,'Valeurs Règlement Campagne'!$A$4:$AB$7,25,FALSE),VLOOKUP($C9,'Valeurs Règlement Campagne'!$A$4:$AB$7,11,FALSE)))</f>
        <v xml:space="preserve"> </v>
      </c>
      <c r="S9" s="46" t="str">
        <f>IF($E9=" "," ",IF($E9=$D$31,VLOOKUP($C9,'Valeurs Règlement Campagne'!$A$4:$AB$7,26,FALSE),VLOOKUP($C9,'Valeurs Règlement Campagne'!$A$4:$AB$7,12,FALSE)))</f>
        <v xml:space="preserve"> </v>
      </c>
      <c r="T9" s="47" t="str">
        <f>IF($E9=" "," ",IF($E9=$D$31,VLOOKUP($C9,'Valeurs Règlement Campagne'!$A$4:$AB$7,28,FALSE),VLOOKUP($C9,'Valeurs Règlement Campagne'!$A$4:$AB$7,13,FALSE)))</f>
        <v xml:space="preserve"> </v>
      </c>
      <c r="U9" s="53" t="str" cm="1">
        <f t="array" ref="U9">IF(C9=" "," ",IF(AND(E9="Connues",AH9&lt;&gt;"",COUNTIFS(AH$6:AH$29,AH9,C$6:C$29,C9)&gt;1),"Doublon",IF(AND(E9="Connues",SUMPRODUCT((E$6:E$29="Connues")*(C$6:C$29=C9)*(ROW($6:$29)&lt;&gt;ROW())*(IFERROR(ABS(F$6:F$29-F9)&lt;=2,FALSE))*((IFERROR(ABS(F$6:F$29-VLOOKUP(C9,'Valeurs Règlement Campagne'!$A$4:$AB$7,14,FALSE))&lt;=2,FALSE))+(IFERROR(ABS(F$6:F$29-VLOOKUP(C9,'Valeurs Règlement Campagne'!$A$4:$AB$7,15,FALSE))&lt;=2,FALSE))+(IFERROR(ABS(F$6:F$29-VLOOKUP(C9,'Valeurs Règlement Campagne'!$A$4:$AB$7,16,FALSE))&lt;=2,FALSE))))&gt;0),"Doublon",IF($C9=" "," ",IF(F9=" "," ",IF(E9="Inconnues",AND(F9&gt;=L9,F9&lt;=M9),IF(AND('Valeurs Règlement Campagne'!$L$14="OUI",E9="Connues"),AND(F9&gt;=L9-2,F9&lt;=M9+2),OR(F9=L9,F9=L9+5,F9=M9))))))))</f>
        <v xml:space="preserve"> </v>
      </c>
      <c r="V9" s="54" t="str" cm="1">
        <f t="array" ref="V9">IF(C9=" "," ",IF(AND(E9="Connues",AH9&lt;&gt;"",COUNTIFS(AH$6:AH$29,AH9,C$6:C$29,C9)&gt;1),"Doublon",IF(AND(E9="Connues",SUMPRODUCT((E$6:E$29="Connues")*(C$6:C$29=C9)*(ROW($6:$29)&lt;&gt;ROW())*(IFERROR(ABS(G$6:G$29-G9)&lt;=2,FALSE))*((IFERROR(ABS(G$6:G$29-VLOOKUP(C9,'Valeurs Règlement Campagne'!$A$4:$AB$7,17,FALSE))&lt;=2,FALSE))+(IFERROR(ABS(G$6:G$29-VLOOKUP(C9,'Valeurs Règlement Campagne'!$A$4:$AB$7,18,FALSE))&lt;=2,FALSE))+(IFERROR(ABS(G$6:G$29-VLOOKUP(C9,'Valeurs Règlement Campagne'!$A$4:$AB$7,19,FALSE))&lt;=2,FALSE))))&gt;0),"Doublon",IF($C9=" "," ",IF(G9=" "," ",IF(E9="Inconnues",AND(G9&gt;=N9,G9&lt;=O9),IF(AND('Valeurs Règlement Campagne'!$L$14="OUI",E9="Connues"),AND(G9&gt;=N9-2,G9&lt;=O9+2),OR(G9=N9,G9=N9+5,G9=O9))))))))</f>
        <v xml:space="preserve"> </v>
      </c>
      <c r="W9" s="54" t="str" cm="1">
        <f t="array" ref="W9">IF(C9=" "," ",IF(AND(E9="Connues",AE9&lt;&gt;"",COUNTIFS(AE$6:AE$29,AE9,C$6:C$29,C9)&gt;1),"Doublon",IF(AND(E9="Connues",SUMPRODUCT((E$6:E$29="Connues")*(C$6:C$29=C9)*(ROW($6:$29)&lt;&gt;ROW())*(IFERROR(ABS(H$6:H$29-H9)&lt;=2,FALSE))*((IFERROR(ABS(H$6:H$29-VLOOKUP(C9,'Valeurs Règlement Campagne'!$A$4:$AB$7,20,FALSE))&lt;=2,FALSE))+(IFERROR(ABS(H$6:H$29-VLOOKUP(C9,'Valeurs Règlement Campagne'!$A$4:$AB$7,21,FALSE))&lt;=2,FALSE))+(IFERROR(ABS(H$6:H$29-VLOOKUP(C9,'Valeurs Règlement Campagne'!$A$4:$AB$7,22,FALSE))&lt;=2,FALSE))))&gt;0),"Doublon",IF($C9=" "," ",IF(H9=" "," ",IF(E9="Inconnues",AND(H9&gt;=P9,H9&lt;=Q9),IF(AND('Valeurs Règlement Campagne'!$L$14="OUI",E9="Connues"),AND(H9&gt;=P9-2,H9&lt;=Q9+2),OR(H9=P9,H9=P9+5,H9=P9))))))))</f>
        <v xml:space="preserve"> </v>
      </c>
      <c r="X9" s="54" t="str" cm="1">
        <f t="array" ref="X9">IF(C9=" "," ",IF(AND(E9="Connues",AH9&lt;&gt;"",COUNTIFS(AH$6:AH$29,AH9,C$6:C$29,C9)&gt;1),"Doublon",IF(AND(E9="Connues",SUMPRODUCT((E$6:E$29="Connues")*(C$6:C$29=C9)*(ROW($6:$29)&lt;&gt;ROW())*(IFERROR(ABS(I$6:I$29-I9)&lt;=2,FALSE))*((IFERROR(ABS(I$6:I$29-VLOOKUP(C9,'Valeurs Règlement Campagne'!$A$4:$AB$7,23,FALSE))&lt;=2,FALSE))+(IFERROR(ABS(I$6:I$29-VLOOKUP(C9,'Valeurs Règlement Campagne'!$A$4:$AB$7,24,FALSE))&lt;=2,FALSE))+(IFERROR(ABS(I$6:I$29-VLOOKUP(C9,'Valeurs Règlement Campagne'!$A$4:$AB$7,25,FALSE))&lt;=2,FALSE))))&gt;0),"Doublon",IF($C9=" "," ",IF(I9=" "," ",IF(E9="Inconnues",AND(I9&gt;=P9,I9&lt;=R9),IF(AND('Valeurs Règlement Campagne'!$L$14="OUI",E9="Connues"),AND(I9&gt;=P9-2,I9&lt;=R9+2),OR(I9=P9,I9=P9+5,I9=P9))))))))</f>
        <v xml:space="preserve"> </v>
      </c>
      <c r="Y9" s="322" t="str" cm="1">
        <f t="array" ref="Y9">IF(C9=" "," ",IF(AND(E9="Connues",AH9&lt;&gt;"",COUNTIFS(AH$6:AH$29,AH9,C$6:C$29,C9)&gt;1),"Doublon",IF(AND(E9="Connues",SUMPRODUCT((E$6:E$29="Connues")*(C$6:C$29=C9)*(ROW($6:$29)&lt;&gt;ROW())*(IFERROR(ABS(J$6:J$29-J9)&lt;=2,FALSE))*((IFERROR(ABS(J$6:J$29-VLOOKUP(C9,'Valeurs Règlement Campagne'!$A$4:$AB$7,26,FALSE))&lt;=2,FALSE))+(IFERROR(ABS(J$6:J$29-VLOOKUP(C9,'Valeurs Règlement Campagne'!$A$4:$AB$7,27,FALSE))&lt;=2,FALSE))+(IFERROR(ABS(J$6:J$29-VLOOKUP(C9,'Valeurs Règlement Campagne'!$A$4:$AB$7,28,FALSE))&lt;=2,FALSE))))&gt;0),"Doublon",IF($C9=" "," ",IF(J9=" "," ",IF(E9="Inconnues",AND(J9&gt;=S9,J9&lt;=T9),IF(AND('Valeurs Règlement Campagne'!$L$14="OUI",E9="Connues"),AND(J9&gt;=S9-2,J9&lt;=T9+2),OR(J9=S9,J9=S9+5,J9=S9))))))))</f>
        <v xml:space="preserve"> </v>
      </c>
      <c r="Z9" s="320" t="str">
        <f t="shared" si="0"/>
        <v xml:space="preserve"> </v>
      </c>
      <c r="AA9" s="233"/>
      <c r="AB9" s="233" t="str">
        <f t="shared" si="1"/>
        <v xml:space="preserve"> </v>
      </c>
      <c r="AC9" s="233"/>
      <c r="AD9" s="233" t="str">
        <f t="shared" si="2"/>
        <v xml:space="preserve"> </v>
      </c>
      <c r="AE9" s="233"/>
      <c r="AF9" s="233" t="str">
        <f t="shared" si="3"/>
        <v xml:space="preserve"> </v>
      </c>
      <c r="AG9" s="234"/>
      <c r="AH9" s="55" t="str">
        <f t="shared" si="4"/>
        <v/>
      </c>
    </row>
    <row r="10" spans="1:34" ht="20.75" customHeight="1">
      <c r="A10" s="130">
        <v>5</v>
      </c>
      <c r="B10" s="133" t="str">
        <f>IF(NOT(ISBLANK(Organisateur!B10)),Organisateur!B10," ")</f>
        <v xml:space="preserve"> </v>
      </c>
      <c r="C10" s="269" t="str">
        <f>IF(NOT(ISBLANK(Organisateur!C10)),Organisateur!C10," ")</f>
        <v xml:space="preserve"> </v>
      </c>
      <c r="D10" s="269"/>
      <c r="E10" s="127" t="str">
        <f>IF(NOT(ISBLANK(Organisateur!E10)),Organisateur!E10," ")</f>
        <v xml:space="preserve"> </v>
      </c>
      <c r="F10" s="115" t="str">
        <f>IF(NOT(ISBLANK(Organisateur!F10)),Organisateur!F10," ")</f>
        <v xml:space="preserve"> </v>
      </c>
      <c r="G10" s="115" t="str">
        <f>IF(NOT(ISBLANK(Organisateur!G10)),Organisateur!G10," ")</f>
        <v xml:space="preserve"> </v>
      </c>
      <c r="H10" s="115" t="str">
        <f>IF(NOT(ISBLANK(Organisateur!H10)),Organisateur!H10," ")</f>
        <v xml:space="preserve"> </v>
      </c>
      <c r="I10" s="115" t="str">
        <f>IF(NOT(ISBLANK(Organisateur!I10)),Organisateur!I10," ")</f>
        <v xml:space="preserve"> </v>
      </c>
      <c r="J10" s="115" t="str">
        <f>IF(NOT(ISBLANK(Organisateur!J10)),Organisateur!J10," ")</f>
        <v xml:space="preserve"> </v>
      </c>
      <c r="K10" s="45"/>
      <c r="L10" s="46" t="str">
        <f>IF($E10=" "," ",IF($E10=$D$31,VLOOKUP($C10,'Valeurs Règlement Campagne'!$A$4:$AB$7,14,FALSE),VLOOKUP($C10,'Valeurs Règlement Campagne'!$A$4:$M$7,4,FALSE)))</f>
        <v xml:space="preserve"> </v>
      </c>
      <c r="M10" s="47" t="str">
        <f>IF($E10=" "," ",IF($E10=$D$31,VLOOKUP($C10,'Valeurs Règlement Campagne'!$A$4:$AB$7,16,FALSE),VLOOKUP($C10,'Valeurs Règlement Campagne'!$A$4:$AB$7,5,FALSE)))</f>
        <v xml:space="preserve"> </v>
      </c>
      <c r="N10" s="46" t="str">
        <f>IF($E10=" "," ",IF($E10=$D$31,VLOOKUP($C10,'Valeurs Règlement Campagne'!$A$4:$AB$7,17,FALSE),VLOOKUP($C10,'Valeurs Règlement Campagne'!$A$4:$AB$7,6,FALSE)))</f>
        <v xml:space="preserve"> </v>
      </c>
      <c r="O10" s="48" t="str">
        <f>IF($E10=" "," ",IF($E10=$D$31,VLOOKUP($C10,'Valeurs Règlement Campagne'!$A$4:$AB$7,19,FALSE),VLOOKUP($C10,'Valeurs Règlement Campagne'!$A$4:$AB$7,7,FALSE)))</f>
        <v xml:space="preserve"> </v>
      </c>
      <c r="P10" s="49" t="str">
        <f>IF($E10=" "," ",IF($E10=$D$31,VLOOKUP($C10,'Valeurs Règlement Campagne'!$A$4:$AB$7,20,FALSE),VLOOKUP($C10,'Valeurs Règlement Campagne'!$A$4:$AB$7,8,FALSE)))</f>
        <v xml:space="preserve"> </v>
      </c>
      <c r="Q10" s="48" t="str">
        <f>IF($E10=" "," ",IF($E10=$D$31,VLOOKUP($C10,'Valeurs Règlement Campagne'!$A$4:$AB$7,22,FALSE),VLOOKUP($C10,'Valeurs Règlement Campagne'!$A$4:$AB$7,9,FALSE)))</f>
        <v xml:space="preserve"> </v>
      </c>
      <c r="R10" s="52" t="str">
        <f>IF($E10=" "," ",IF($E10=$D$31,VLOOKUP($C10,'Valeurs Règlement Campagne'!$A$4:$AB$7,25,FALSE),VLOOKUP($C10,'Valeurs Règlement Campagne'!$A$4:$AB$7,11,FALSE)))</f>
        <v xml:space="preserve"> </v>
      </c>
      <c r="S10" s="46" t="str">
        <f>IF($E10=" "," ",IF($E10=$D$31,VLOOKUP($C10,'Valeurs Règlement Campagne'!$A$4:$AB$7,26,FALSE),VLOOKUP($C10,'Valeurs Règlement Campagne'!$A$4:$AB$7,12,FALSE)))</f>
        <v xml:space="preserve"> </v>
      </c>
      <c r="T10" s="47" t="str">
        <f>IF($E10=" "," ",IF($E10=$D$31,VLOOKUP($C10,'Valeurs Règlement Campagne'!$A$4:$AB$7,28,FALSE),VLOOKUP($C10,'Valeurs Règlement Campagne'!$A$4:$AB$7,13,FALSE)))</f>
        <v xml:space="preserve"> </v>
      </c>
      <c r="U10" s="53" t="str" cm="1">
        <f t="array" ref="U10">IF(C10=" "," ",IF(AND(E10="Connues",AH10&lt;&gt;"",COUNTIFS(AH$6:AH$29,AH10,C$6:C$29,C10)&gt;1),"Doublon",IF(AND(E10="Connues",SUMPRODUCT((E$6:E$29="Connues")*(C$6:C$29=C10)*(ROW($6:$29)&lt;&gt;ROW())*(IFERROR(ABS(F$6:F$29-F10)&lt;=2,FALSE))*((IFERROR(ABS(F$6:F$29-VLOOKUP(C10,'Valeurs Règlement Campagne'!$A$4:$AB$7,14,FALSE))&lt;=2,FALSE))+(IFERROR(ABS(F$6:F$29-VLOOKUP(C10,'Valeurs Règlement Campagne'!$A$4:$AB$7,15,FALSE))&lt;=2,FALSE))+(IFERROR(ABS(F$6:F$29-VLOOKUP(C10,'Valeurs Règlement Campagne'!$A$4:$AB$7,16,FALSE))&lt;=2,FALSE))))&gt;0),"Doublon",IF($C10=" "," ",IF(F10=" "," ",IF(E10="Inconnues",AND(F10&gt;=L10,F10&lt;=M10),IF(AND('Valeurs Règlement Campagne'!$L$14="OUI",E10="Connues"),AND(F10&gt;=L10-2,F10&lt;=M10+2),OR(F10=L10,F10=L10+5,F10=M10))))))))</f>
        <v xml:space="preserve"> </v>
      </c>
      <c r="V10" s="54" t="str" cm="1">
        <f t="array" ref="V10">IF(C10=" "," ",IF(AND(E10="Connues",AH10&lt;&gt;"",COUNTIFS(AH$6:AH$29,AH10,C$6:C$29,C10)&gt;1),"Doublon",IF(AND(E10="Connues",SUMPRODUCT((E$6:E$29="Connues")*(C$6:C$29=C10)*(ROW($6:$29)&lt;&gt;ROW())*(IFERROR(ABS(G$6:G$29-G10)&lt;=2,FALSE))*((IFERROR(ABS(G$6:G$29-VLOOKUP(C10,'Valeurs Règlement Campagne'!$A$4:$AB$7,17,FALSE))&lt;=2,FALSE))+(IFERROR(ABS(G$6:G$29-VLOOKUP(C10,'Valeurs Règlement Campagne'!$A$4:$AB$7,18,FALSE))&lt;=2,FALSE))+(IFERROR(ABS(G$6:G$29-VLOOKUP(C10,'Valeurs Règlement Campagne'!$A$4:$AB$7,19,FALSE))&lt;=2,FALSE))))&gt;0),"Doublon",IF($C10=" "," ",IF(G10=" "," ",IF(E10="Inconnues",AND(G10&gt;=N10,G10&lt;=O10),IF(AND('Valeurs Règlement Campagne'!$L$14="OUI",E10="Connues"),AND(G10&gt;=N10-2,G10&lt;=O10+2),OR(G10=N10,G10=N10+5,G10=O10))))))))</f>
        <v xml:space="preserve"> </v>
      </c>
      <c r="W10" s="54" t="str" cm="1">
        <f t="array" ref="W10">IF(C10=" "," ",IF(AND(E10="Connues",AE10&lt;&gt;"",COUNTIFS(AE$6:AE$29,AE10,C$6:C$29,C10)&gt;1),"Doublon",IF(AND(E10="Connues",SUMPRODUCT((E$6:E$29="Connues")*(C$6:C$29=C10)*(ROW($6:$29)&lt;&gt;ROW())*(IFERROR(ABS(H$6:H$29-H10)&lt;=2,FALSE))*((IFERROR(ABS(H$6:H$29-VLOOKUP(C10,'Valeurs Règlement Campagne'!$A$4:$AB$7,20,FALSE))&lt;=2,FALSE))+(IFERROR(ABS(H$6:H$29-VLOOKUP(C10,'Valeurs Règlement Campagne'!$A$4:$AB$7,21,FALSE))&lt;=2,FALSE))+(IFERROR(ABS(H$6:H$29-VLOOKUP(C10,'Valeurs Règlement Campagne'!$A$4:$AB$7,22,FALSE))&lt;=2,FALSE))))&gt;0),"Doublon",IF($C10=" "," ",IF(H10=" "," ",IF(E10="Inconnues",AND(H10&gt;=P10,H10&lt;=Q10),IF(AND('Valeurs Règlement Campagne'!$L$14="OUI",E10="Connues"),AND(H10&gt;=P10-2,H10&lt;=Q10+2),OR(H10=P10,H10=P10+5,H10=P10))))))))</f>
        <v xml:space="preserve"> </v>
      </c>
      <c r="X10" s="54" t="str" cm="1">
        <f t="array" ref="X10">IF(C10=" "," ",IF(AND(E10="Connues",AH10&lt;&gt;"",COUNTIFS(AH$6:AH$29,AH10,C$6:C$29,C10)&gt;1),"Doublon",IF(AND(E10="Connues",SUMPRODUCT((E$6:E$29="Connues")*(C$6:C$29=C10)*(ROW($6:$29)&lt;&gt;ROW())*(IFERROR(ABS(I$6:I$29-I10)&lt;=2,FALSE))*((IFERROR(ABS(I$6:I$29-VLOOKUP(C10,'Valeurs Règlement Campagne'!$A$4:$AB$7,23,FALSE))&lt;=2,FALSE))+(IFERROR(ABS(I$6:I$29-VLOOKUP(C10,'Valeurs Règlement Campagne'!$A$4:$AB$7,24,FALSE))&lt;=2,FALSE))+(IFERROR(ABS(I$6:I$29-VLOOKUP(C10,'Valeurs Règlement Campagne'!$A$4:$AB$7,25,FALSE))&lt;=2,FALSE))))&gt;0),"Doublon",IF($C10=" "," ",IF(I10=" "," ",IF(E10="Inconnues",AND(I10&gt;=P10,I10&lt;=R10),IF(AND('Valeurs Règlement Campagne'!$L$14="OUI",E10="Connues"),AND(I10&gt;=P10-2,I10&lt;=R10+2),OR(I10=P10,I10=P10+5,I10=P10))))))))</f>
        <v xml:space="preserve"> </v>
      </c>
      <c r="Y10" s="322" t="str" cm="1">
        <f t="array" ref="Y10">IF(C10=" "," ",IF(AND(E10="Connues",AH10&lt;&gt;"",COUNTIFS(AH$6:AH$29,AH10,C$6:C$29,C10)&gt;1),"Doublon",IF(AND(E10="Connues",SUMPRODUCT((E$6:E$29="Connues")*(C$6:C$29=C10)*(ROW($6:$29)&lt;&gt;ROW())*(IFERROR(ABS(J$6:J$29-J10)&lt;=2,FALSE))*((IFERROR(ABS(J$6:J$29-VLOOKUP(C10,'Valeurs Règlement Campagne'!$A$4:$AB$7,26,FALSE))&lt;=2,FALSE))+(IFERROR(ABS(J$6:J$29-VLOOKUP(C10,'Valeurs Règlement Campagne'!$A$4:$AB$7,27,FALSE))&lt;=2,FALSE))+(IFERROR(ABS(J$6:J$29-VLOOKUP(C10,'Valeurs Règlement Campagne'!$A$4:$AB$7,28,FALSE))&lt;=2,FALSE))))&gt;0),"Doublon",IF($C10=" "," ",IF(J10=" "," ",IF(E10="Inconnues",AND(J10&gt;=S10,J10&lt;=T10),IF(AND('Valeurs Règlement Campagne'!$L$14="OUI",E10="Connues"),AND(J10&gt;=S10-2,J10&lt;=T10+2),OR(J10=S10,J10=S10+5,J10=S10))))))))</f>
        <v xml:space="preserve"> </v>
      </c>
      <c r="Z10" s="320" t="str">
        <f t="shared" si="0"/>
        <v xml:space="preserve"> </v>
      </c>
      <c r="AA10" s="233"/>
      <c r="AB10" s="233" t="str">
        <f t="shared" si="1"/>
        <v xml:space="preserve"> </v>
      </c>
      <c r="AC10" s="233"/>
      <c r="AD10" s="233" t="str">
        <f t="shared" si="2"/>
        <v xml:space="preserve"> </v>
      </c>
      <c r="AE10" s="233"/>
      <c r="AF10" s="233" t="str">
        <f t="shared" si="3"/>
        <v xml:space="preserve"> </v>
      </c>
      <c r="AG10" s="234"/>
      <c r="AH10" s="55" t="str">
        <f t="shared" si="4"/>
        <v/>
      </c>
    </row>
    <row r="11" spans="1:34" ht="20.75" customHeight="1">
      <c r="A11" s="130">
        <v>6</v>
      </c>
      <c r="B11" s="133" t="str">
        <f>IF(NOT(ISBLANK(Organisateur!B11)),Organisateur!B11," ")</f>
        <v xml:space="preserve"> </v>
      </c>
      <c r="C11" s="269" t="str">
        <f>IF(NOT(ISBLANK(Organisateur!C11)),Organisateur!C11," ")</f>
        <v xml:space="preserve"> </v>
      </c>
      <c r="D11" s="269"/>
      <c r="E11" s="127" t="str">
        <f>IF(NOT(ISBLANK(Organisateur!E11)),Organisateur!E11," ")</f>
        <v xml:space="preserve"> </v>
      </c>
      <c r="F11" s="115" t="str">
        <f>IF(NOT(ISBLANK(Organisateur!F11)),Organisateur!F11," ")</f>
        <v xml:space="preserve"> </v>
      </c>
      <c r="G11" s="115" t="str">
        <f>IF(NOT(ISBLANK(Organisateur!G11)),Organisateur!G11," ")</f>
        <v xml:space="preserve"> </v>
      </c>
      <c r="H11" s="115" t="str">
        <f>IF(NOT(ISBLANK(Organisateur!H11)),Organisateur!H11," ")</f>
        <v xml:space="preserve"> </v>
      </c>
      <c r="I11" s="115" t="str">
        <f>IF(NOT(ISBLANK(Organisateur!I11)),Organisateur!I11," ")</f>
        <v xml:space="preserve"> </v>
      </c>
      <c r="J11" s="115" t="str">
        <f>IF(NOT(ISBLANK(Organisateur!J11)),Organisateur!J11," ")</f>
        <v xml:space="preserve"> </v>
      </c>
      <c r="K11" s="45"/>
      <c r="L11" s="46" t="str">
        <f>IF($E11=" "," ",IF($E11=$D$31,VLOOKUP($C11,'Valeurs Règlement Campagne'!$A$4:$AB$7,14,FALSE),VLOOKUP($C11,'Valeurs Règlement Campagne'!$A$4:$M$7,4,FALSE)))</f>
        <v xml:space="preserve"> </v>
      </c>
      <c r="M11" s="47" t="str">
        <f>IF($E11=" "," ",IF($E11=$D$31,VLOOKUP($C11,'Valeurs Règlement Campagne'!$A$4:$AB$7,16,FALSE),VLOOKUP($C11,'Valeurs Règlement Campagne'!$A$4:$AB$7,5,FALSE)))</f>
        <v xml:space="preserve"> </v>
      </c>
      <c r="N11" s="46" t="str">
        <f>IF($E11=" "," ",IF($E11=$D$31,VLOOKUP($C11,'Valeurs Règlement Campagne'!$A$4:$AB$7,17,FALSE),VLOOKUP($C11,'Valeurs Règlement Campagne'!$A$4:$AB$7,6,FALSE)))</f>
        <v xml:space="preserve"> </v>
      </c>
      <c r="O11" s="48" t="str">
        <f>IF($E11=" "," ",IF($E11=$D$31,VLOOKUP($C11,'Valeurs Règlement Campagne'!$A$4:$AB$7,19,FALSE),VLOOKUP($C11,'Valeurs Règlement Campagne'!$A$4:$AB$7,7,FALSE)))</f>
        <v xml:space="preserve"> </v>
      </c>
      <c r="P11" s="49" t="str">
        <f>IF($E11=" "," ",IF($E11=$D$31,VLOOKUP($C11,'Valeurs Règlement Campagne'!$A$4:$AB$7,20,FALSE),VLOOKUP($C11,'Valeurs Règlement Campagne'!$A$4:$AB$7,8,FALSE)))</f>
        <v xml:space="preserve"> </v>
      </c>
      <c r="Q11" s="48" t="str">
        <f>IF($E11=" "," ",IF($E11=$D$31,VLOOKUP($C11,'Valeurs Règlement Campagne'!$A$4:$AB$7,22,FALSE),VLOOKUP($C11,'Valeurs Règlement Campagne'!$A$4:$AB$7,9,FALSE)))</f>
        <v xml:space="preserve"> </v>
      </c>
      <c r="R11" s="52" t="str">
        <f>IF($E11=" "," ",IF($E11=$D$31,VLOOKUP($C11,'Valeurs Règlement Campagne'!$A$4:$AB$7,25,FALSE),VLOOKUP($C11,'Valeurs Règlement Campagne'!$A$4:$AB$7,11,FALSE)))</f>
        <v xml:space="preserve"> </v>
      </c>
      <c r="S11" s="46" t="str">
        <f>IF($E11=" "," ",IF($E11=$D$31,VLOOKUP($C11,'Valeurs Règlement Campagne'!$A$4:$AB$7,26,FALSE),VLOOKUP($C11,'Valeurs Règlement Campagne'!$A$4:$AB$7,12,FALSE)))</f>
        <v xml:space="preserve"> </v>
      </c>
      <c r="T11" s="47" t="str">
        <f>IF($E11=" "," ",IF($E11=$D$31,VLOOKUP($C11,'Valeurs Règlement Campagne'!$A$4:$AB$7,28,FALSE),VLOOKUP($C11,'Valeurs Règlement Campagne'!$A$4:$AB$7,13,FALSE)))</f>
        <v xml:space="preserve"> </v>
      </c>
      <c r="U11" s="53" t="str" cm="1">
        <f t="array" ref="U11">IF(C11=" "," ",IF(AND(E11="Connues",AH11&lt;&gt;"",COUNTIFS(AH$6:AH$29,AH11,C$6:C$29,C11)&gt;1),"Doublon",IF(AND(E11="Connues",SUMPRODUCT((E$6:E$29="Connues")*(C$6:C$29=C11)*(ROW($6:$29)&lt;&gt;ROW())*(IFERROR(ABS(F$6:F$29-F11)&lt;=2,FALSE))*((IFERROR(ABS(F$6:F$29-VLOOKUP(C11,'Valeurs Règlement Campagne'!$A$4:$AB$7,14,FALSE))&lt;=2,FALSE))+(IFERROR(ABS(F$6:F$29-VLOOKUP(C11,'Valeurs Règlement Campagne'!$A$4:$AB$7,15,FALSE))&lt;=2,FALSE))+(IFERROR(ABS(F$6:F$29-VLOOKUP(C11,'Valeurs Règlement Campagne'!$A$4:$AB$7,16,FALSE))&lt;=2,FALSE))))&gt;0),"Doublon",IF($C11=" "," ",IF(F11=" "," ",IF(E11="Inconnues",AND(F11&gt;=L11,F11&lt;=M11),IF(AND('Valeurs Règlement Campagne'!$L$14="OUI",E11="Connues"),AND(F11&gt;=L11-2,F11&lt;=M11+2),OR(F11=L11,F11=L11+5,F11=M11))))))))</f>
        <v xml:space="preserve"> </v>
      </c>
      <c r="V11" s="54" t="str" cm="1">
        <f t="array" ref="V11">IF(C11=" "," ",IF(AND(E11="Connues",AH11&lt;&gt;"",COUNTIFS(AH$6:AH$29,AH11,C$6:C$29,C11)&gt;1),"Doublon",IF(AND(E11="Connues",SUMPRODUCT((E$6:E$29="Connues")*(C$6:C$29=C11)*(ROW($6:$29)&lt;&gt;ROW())*(IFERROR(ABS(G$6:G$29-G11)&lt;=2,FALSE))*((IFERROR(ABS(G$6:G$29-VLOOKUP(C11,'Valeurs Règlement Campagne'!$A$4:$AB$7,17,FALSE))&lt;=2,FALSE))+(IFERROR(ABS(G$6:G$29-VLOOKUP(C11,'Valeurs Règlement Campagne'!$A$4:$AB$7,18,FALSE))&lt;=2,FALSE))+(IFERROR(ABS(G$6:G$29-VLOOKUP(C11,'Valeurs Règlement Campagne'!$A$4:$AB$7,19,FALSE))&lt;=2,FALSE))))&gt;0),"Doublon",IF($C11=" "," ",IF(G11=" "," ",IF(E11="Inconnues",AND(G11&gt;=N11,G11&lt;=O11),IF(AND('Valeurs Règlement Campagne'!$L$14="OUI",E11="Connues"),AND(G11&gt;=N11-2,G11&lt;=O11+2),OR(G11=N11,G11=N11+5,G11=O11))))))))</f>
        <v xml:space="preserve"> </v>
      </c>
      <c r="W11" s="54" t="str" cm="1">
        <f t="array" ref="W11">IF(C11=" "," ",IF(AND(E11="Connues",AE11&lt;&gt;"",COUNTIFS(AE$6:AE$29,AE11,C$6:C$29,C11)&gt;1),"Doublon",IF(AND(E11="Connues",SUMPRODUCT((E$6:E$29="Connues")*(C$6:C$29=C11)*(ROW($6:$29)&lt;&gt;ROW())*(IFERROR(ABS(H$6:H$29-H11)&lt;=2,FALSE))*((IFERROR(ABS(H$6:H$29-VLOOKUP(C11,'Valeurs Règlement Campagne'!$A$4:$AB$7,20,FALSE))&lt;=2,FALSE))+(IFERROR(ABS(H$6:H$29-VLOOKUP(C11,'Valeurs Règlement Campagne'!$A$4:$AB$7,21,FALSE))&lt;=2,FALSE))+(IFERROR(ABS(H$6:H$29-VLOOKUP(C11,'Valeurs Règlement Campagne'!$A$4:$AB$7,22,FALSE))&lt;=2,FALSE))))&gt;0),"Doublon",IF($C11=" "," ",IF(H11=" "," ",IF(E11="Inconnues",AND(H11&gt;=P11,H11&lt;=Q11),IF(AND('Valeurs Règlement Campagne'!$L$14="OUI",E11="Connues"),AND(H11&gt;=P11-2,H11&lt;=Q11+2),OR(H11=P11,H11=P11+5,H11=P11))))))))</f>
        <v xml:space="preserve"> </v>
      </c>
      <c r="X11" s="54" t="str" cm="1">
        <f t="array" ref="X11">IF(C11=" "," ",IF(AND(E11="Connues",AH11&lt;&gt;"",COUNTIFS(AH$6:AH$29,AH11,C$6:C$29,C11)&gt;1),"Doublon",IF(AND(E11="Connues",SUMPRODUCT((E$6:E$29="Connues")*(C$6:C$29=C11)*(ROW($6:$29)&lt;&gt;ROW())*(IFERROR(ABS(I$6:I$29-I11)&lt;=2,FALSE))*((IFERROR(ABS(I$6:I$29-VLOOKUP(C11,'Valeurs Règlement Campagne'!$A$4:$AB$7,23,FALSE))&lt;=2,FALSE))+(IFERROR(ABS(I$6:I$29-VLOOKUP(C11,'Valeurs Règlement Campagne'!$A$4:$AB$7,24,FALSE))&lt;=2,FALSE))+(IFERROR(ABS(I$6:I$29-VLOOKUP(C11,'Valeurs Règlement Campagne'!$A$4:$AB$7,25,FALSE))&lt;=2,FALSE))))&gt;0),"Doublon",IF($C11=" "," ",IF(I11=" "," ",IF(E11="Inconnues",AND(I11&gt;=P11,I11&lt;=R11),IF(AND('Valeurs Règlement Campagne'!$L$14="OUI",E11="Connues"),AND(I11&gt;=P11-2,I11&lt;=R11+2),OR(I11=P11,I11=P11+5,I11=P11))))))))</f>
        <v xml:space="preserve"> </v>
      </c>
      <c r="Y11" s="322" t="str" cm="1">
        <f t="array" ref="Y11">IF(C11=" "," ",IF(AND(E11="Connues",AH11&lt;&gt;"",COUNTIFS(AH$6:AH$29,AH11,C$6:C$29,C11)&gt;1),"Doublon",IF(AND(E11="Connues",SUMPRODUCT((E$6:E$29="Connues")*(C$6:C$29=C11)*(ROW($6:$29)&lt;&gt;ROW())*(IFERROR(ABS(J$6:J$29-J11)&lt;=2,FALSE))*((IFERROR(ABS(J$6:J$29-VLOOKUP(C11,'Valeurs Règlement Campagne'!$A$4:$AB$7,26,FALSE))&lt;=2,FALSE))+(IFERROR(ABS(J$6:J$29-VLOOKUP(C11,'Valeurs Règlement Campagne'!$A$4:$AB$7,27,FALSE))&lt;=2,FALSE))+(IFERROR(ABS(J$6:J$29-VLOOKUP(C11,'Valeurs Règlement Campagne'!$A$4:$AB$7,28,FALSE))&lt;=2,FALSE))))&gt;0),"Doublon",IF($C11=" "," ",IF(J11=" "," ",IF(E11="Inconnues",AND(J11&gt;=S11,J11&lt;=T11),IF(AND('Valeurs Règlement Campagne'!$L$14="OUI",E11="Connues"),AND(J11&gt;=S11-2,J11&lt;=T11+2),OR(J11=S11,J11=S11+5,J11=S11))))))))</f>
        <v xml:space="preserve"> </v>
      </c>
      <c r="Z11" s="320" t="str">
        <f t="shared" si="0"/>
        <v xml:space="preserve"> </v>
      </c>
      <c r="AA11" s="233"/>
      <c r="AB11" s="233" t="str">
        <f t="shared" si="1"/>
        <v xml:space="preserve"> </v>
      </c>
      <c r="AC11" s="233"/>
      <c r="AD11" s="233" t="str">
        <f t="shared" si="2"/>
        <v xml:space="preserve"> </v>
      </c>
      <c r="AE11" s="233"/>
      <c r="AF11" s="233" t="str">
        <f t="shared" si="3"/>
        <v xml:space="preserve"> </v>
      </c>
      <c r="AG11" s="234"/>
      <c r="AH11" s="55" t="str">
        <f t="shared" si="4"/>
        <v/>
      </c>
    </row>
    <row r="12" spans="1:34" ht="20.75" customHeight="1">
      <c r="A12" s="130">
        <v>7</v>
      </c>
      <c r="B12" s="133" t="str">
        <f>IF(NOT(ISBLANK(Organisateur!B12)),Organisateur!B12," ")</f>
        <v xml:space="preserve"> </v>
      </c>
      <c r="C12" s="269" t="str">
        <f>IF(NOT(ISBLANK(Organisateur!C12)),Organisateur!C12," ")</f>
        <v xml:space="preserve"> </v>
      </c>
      <c r="D12" s="269"/>
      <c r="E12" s="127" t="str">
        <f>IF(NOT(ISBLANK(Organisateur!E12)),Organisateur!E12," ")</f>
        <v xml:space="preserve"> </v>
      </c>
      <c r="F12" s="115" t="str">
        <f>IF(NOT(ISBLANK(Organisateur!F12)),Organisateur!F12," ")</f>
        <v xml:space="preserve"> </v>
      </c>
      <c r="G12" s="115" t="str">
        <f>IF(NOT(ISBLANK(Organisateur!G12)),Organisateur!G12," ")</f>
        <v xml:space="preserve"> </v>
      </c>
      <c r="H12" s="115" t="str">
        <f>IF(NOT(ISBLANK(Organisateur!H12)),Organisateur!H12," ")</f>
        <v xml:space="preserve"> </v>
      </c>
      <c r="I12" s="115" t="str">
        <f>IF(NOT(ISBLANK(Organisateur!I12)),Organisateur!I12," ")</f>
        <v xml:space="preserve"> </v>
      </c>
      <c r="J12" s="115" t="str">
        <f>IF(NOT(ISBLANK(Organisateur!J12)),Organisateur!J12," ")</f>
        <v xml:space="preserve"> </v>
      </c>
      <c r="K12" s="45"/>
      <c r="L12" s="46" t="str">
        <f>IF($E12=" "," ",IF($E12=$D$31,VLOOKUP($C12,'Valeurs Règlement Campagne'!$A$4:$AB$7,14,FALSE),VLOOKUP($C12,'Valeurs Règlement Campagne'!$A$4:$M$7,4,FALSE)))</f>
        <v xml:space="preserve"> </v>
      </c>
      <c r="M12" s="47" t="str">
        <f>IF($E12=" "," ",IF($E12=$D$31,VLOOKUP($C12,'Valeurs Règlement Campagne'!$A$4:$AB$7,16,FALSE),VLOOKUP($C12,'Valeurs Règlement Campagne'!$A$4:$AB$7,5,FALSE)))</f>
        <v xml:space="preserve"> </v>
      </c>
      <c r="N12" s="46" t="str">
        <f>IF($E12=" "," ",IF($E12=$D$31,VLOOKUP($C12,'Valeurs Règlement Campagne'!$A$4:$AB$7,17,FALSE),VLOOKUP($C12,'Valeurs Règlement Campagne'!$A$4:$AB$7,6,FALSE)))</f>
        <v xml:space="preserve"> </v>
      </c>
      <c r="O12" s="48" t="str">
        <f>IF($E12=" "," ",IF($E12=$D$31,VLOOKUP($C12,'Valeurs Règlement Campagne'!$A$4:$AB$7,19,FALSE),VLOOKUP($C12,'Valeurs Règlement Campagne'!$A$4:$AB$7,7,FALSE)))</f>
        <v xml:space="preserve"> </v>
      </c>
      <c r="P12" s="49" t="str">
        <f>IF($E12=" "," ",IF($E12=$D$31,VLOOKUP($C12,'Valeurs Règlement Campagne'!$A$4:$AB$7,20,FALSE),VLOOKUP($C12,'Valeurs Règlement Campagne'!$A$4:$AB$7,8,FALSE)))</f>
        <v xml:space="preserve"> </v>
      </c>
      <c r="Q12" s="48" t="str">
        <f>IF($E12=" "," ",IF($E12=$D$31,VLOOKUP($C12,'Valeurs Règlement Campagne'!$A$4:$AB$7,22,FALSE),VLOOKUP($C12,'Valeurs Règlement Campagne'!$A$4:$AB$7,9,FALSE)))</f>
        <v xml:space="preserve"> </v>
      </c>
      <c r="R12" s="52" t="str">
        <f>IF($E12=" "," ",IF($E12=$D$31,VLOOKUP($C12,'Valeurs Règlement Campagne'!$A$4:$AB$7,25,FALSE),VLOOKUP($C12,'Valeurs Règlement Campagne'!$A$4:$AB$7,11,FALSE)))</f>
        <v xml:space="preserve"> </v>
      </c>
      <c r="S12" s="46" t="str">
        <f>IF($E12=" "," ",IF($E12=$D$31,VLOOKUP($C12,'Valeurs Règlement Campagne'!$A$4:$AB$7,26,FALSE),VLOOKUP($C12,'Valeurs Règlement Campagne'!$A$4:$AB$7,12,FALSE)))</f>
        <v xml:space="preserve"> </v>
      </c>
      <c r="T12" s="47" t="str">
        <f>IF($E12=" "," ",IF($E12=$D$31,VLOOKUP($C12,'Valeurs Règlement Campagne'!$A$4:$AB$7,28,FALSE),VLOOKUP($C12,'Valeurs Règlement Campagne'!$A$4:$AB$7,13,FALSE)))</f>
        <v xml:space="preserve"> </v>
      </c>
      <c r="U12" s="53" t="str" cm="1">
        <f t="array" ref="U12">IF(C12=" "," ",IF(AND(E12="Connues",AH12&lt;&gt;"",COUNTIFS(AH$6:AH$29,AH12,C$6:C$29,C12)&gt;1),"Doublon",IF(AND(E12="Connues",SUMPRODUCT((E$6:E$29="Connues")*(C$6:C$29=C12)*(ROW($6:$29)&lt;&gt;ROW())*(IFERROR(ABS(F$6:F$29-F12)&lt;=2,FALSE))*((IFERROR(ABS(F$6:F$29-VLOOKUP(C12,'Valeurs Règlement Campagne'!$A$4:$AB$7,14,FALSE))&lt;=2,FALSE))+(IFERROR(ABS(F$6:F$29-VLOOKUP(C12,'Valeurs Règlement Campagne'!$A$4:$AB$7,15,FALSE))&lt;=2,FALSE))+(IFERROR(ABS(F$6:F$29-VLOOKUP(C12,'Valeurs Règlement Campagne'!$A$4:$AB$7,16,FALSE))&lt;=2,FALSE))))&gt;0),"Doublon",IF($C12=" "," ",IF(F12=" "," ",IF(E12="Inconnues",AND(F12&gt;=L12,F12&lt;=M12),IF(AND('Valeurs Règlement Campagne'!$L$14="OUI",E12="Connues"),AND(F12&gt;=L12-2,F12&lt;=M12+2),OR(F12=L12,F12=L12+5,F12=M12))))))))</f>
        <v xml:space="preserve"> </v>
      </c>
      <c r="V12" s="54" t="str" cm="1">
        <f t="array" ref="V12">IF(C12=" "," ",IF(AND(E12="Connues",AH12&lt;&gt;"",COUNTIFS(AH$6:AH$29,AH12,C$6:C$29,C12)&gt;1),"Doublon",IF(AND(E12="Connues",SUMPRODUCT((E$6:E$29="Connues")*(C$6:C$29=C12)*(ROW($6:$29)&lt;&gt;ROW())*(IFERROR(ABS(G$6:G$29-G12)&lt;=2,FALSE))*((IFERROR(ABS(G$6:G$29-VLOOKUP(C12,'Valeurs Règlement Campagne'!$A$4:$AB$7,17,FALSE))&lt;=2,FALSE))+(IFERROR(ABS(G$6:G$29-VLOOKUP(C12,'Valeurs Règlement Campagne'!$A$4:$AB$7,18,FALSE))&lt;=2,FALSE))+(IFERROR(ABS(G$6:G$29-VLOOKUP(C12,'Valeurs Règlement Campagne'!$A$4:$AB$7,19,FALSE))&lt;=2,FALSE))))&gt;0),"Doublon",IF($C12=" "," ",IF(G12=" "," ",IF(E12="Inconnues",AND(G12&gt;=N12,G12&lt;=O12),IF(AND('Valeurs Règlement Campagne'!$L$14="OUI",E12="Connues"),AND(G12&gt;=N12-2,G12&lt;=O12+2),OR(G12=N12,G12=N12+5,G12=O12))))))))</f>
        <v xml:space="preserve"> </v>
      </c>
      <c r="W12" s="54" t="str" cm="1">
        <f t="array" ref="W12">IF(C12=" "," ",IF(AND(E12="Connues",AE12&lt;&gt;"",COUNTIFS(AE$6:AE$29,AE12,C$6:C$29,C12)&gt;1),"Doublon",IF(AND(E12="Connues",SUMPRODUCT((E$6:E$29="Connues")*(C$6:C$29=C12)*(ROW($6:$29)&lt;&gt;ROW())*(IFERROR(ABS(H$6:H$29-H12)&lt;=2,FALSE))*((IFERROR(ABS(H$6:H$29-VLOOKUP(C12,'Valeurs Règlement Campagne'!$A$4:$AB$7,20,FALSE))&lt;=2,FALSE))+(IFERROR(ABS(H$6:H$29-VLOOKUP(C12,'Valeurs Règlement Campagne'!$A$4:$AB$7,21,FALSE))&lt;=2,FALSE))+(IFERROR(ABS(H$6:H$29-VLOOKUP(C12,'Valeurs Règlement Campagne'!$A$4:$AB$7,22,FALSE))&lt;=2,FALSE))))&gt;0),"Doublon",IF($C12=" "," ",IF(H12=" "," ",IF(E12="Inconnues",AND(H12&gt;=P12,H12&lt;=Q12),IF(AND('Valeurs Règlement Campagne'!$L$14="OUI",E12="Connues"),AND(H12&gt;=P12-2,H12&lt;=Q12+2),OR(H12=P12,H12=P12+5,H12=P12))))))))</f>
        <v xml:space="preserve"> </v>
      </c>
      <c r="X12" s="54" t="str" cm="1">
        <f t="array" ref="X12">IF(C12=" "," ",IF(AND(E12="Connues",AH12&lt;&gt;"",COUNTIFS(AH$6:AH$29,AH12,C$6:C$29,C12)&gt;1),"Doublon",IF(AND(E12="Connues",SUMPRODUCT((E$6:E$29="Connues")*(C$6:C$29=C12)*(ROW($6:$29)&lt;&gt;ROW())*(IFERROR(ABS(I$6:I$29-I12)&lt;=2,FALSE))*((IFERROR(ABS(I$6:I$29-VLOOKUP(C12,'Valeurs Règlement Campagne'!$A$4:$AB$7,23,FALSE))&lt;=2,FALSE))+(IFERROR(ABS(I$6:I$29-VLOOKUP(C12,'Valeurs Règlement Campagne'!$A$4:$AB$7,24,FALSE))&lt;=2,FALSE))+(IFERROR(ABS(I$6:I$29-VLOOKUP(C12,'Valeurs Règlement Campagne'!$A$4:$AB$7,25,FALSE))&lt;=2,FALSE))))&gt;0),"Doublon",IF($C12=" "," ",IF(I12=" "," ",IF(E12="Inconnues",AND(I12&gt;=P12,I12&lt;=R12),IF(AND('Valeurs Règlement Campagne'!$L$14="OUI",E12="Connues"),AND(I12&gt;=P12-2,I12&lt;=R12+2),OR(I12=P12,I12=P12+5,I12=P12))))))))</f>
        <v xml:space="preserve"> </v>
      </c>
      <c r="Y12" s="322" t="str" cm="1">
        <f t="array" ref="Y12">IF(C12=" "," ",IF(AND(E12="Connues",AH12&lt;&gt;"",COUNTIFS(AH$6:AH$29,AH12,C$6:C$29,C12)&gt;1),"Doublon",IF(AND(E12="Connues",SUMPRODUCT((E$6:E$29="Connues")*(C$6:C$29=C12)*(ROW($6:$29)&lt;&gt;ROW())*(IFERROR(ABS(J$6:J$29-J12)&lt;=2,FALSE))*((IFERROR(ABS(J$6:J$29-VLOOKUP(C12,'Valeurs Règlement Campagne'!$A$4:$AB$7,26,FALSE))&lt;=2,FALSE))+(IFERROR(ABS(J$6:J$29-VLOOKUP(C12,'Valeurs Règlement Campagne'!$A$4:$AB$7,27,FALSE))&lt;=2,FALSE))+(IFERROR(ABS(J$6:J$29-VLOOKUP(C12,'Valeurs Règlement Campagne'!$A$4:$AB$7,28,FALSE))&lt;=2,FALSE))))&gt;0),"Doublon",IF($C12=" "," ",IF(J12=" "," ",IF(E12="Inconnues",AND(J12&gt;=S12,J12&lt;=T12),IF(AND('Valeurs Règlement Campagne'!$L$14="OUI",E12="Connues"),AND(J12&gt;=S12-2,J12&lt;=T12+2),OR(J12=S12,J12=S12+5,J12=S12))))))))</f>
        <v xml:space="preserve"> </v>
      </c>
      <c r="Z12" s="320" t="str">
        <f t="shared" si="0"/>
        <v xml:space="preserve"> </v>
      </c>
      <c r="AA12" s="233"/>
      <c r="AB12" s="233" t="str">
        <f t="shared" si="1"/>
        <v xml:space="preserve"> </v>
      </c>
      <c r="AC12" s="233"/>
      <c r="AD12" s="233" t="str">
        <f t="shared" si="2"/>
        <v xml:space="preserve"> </v>
      </c>
      <c r="AE12" s="233"/>
      <c r="AF12" s="233" t="str">
        <f t="shared" si="3"/>
        <v xml:space="preserve"> </v>
      </c>
      <c r="AG12" s="234"/>
      <c r="AH12" s="55" t="str">
        <f t="shared" si="4"/>
        <v/>
      </c>
    </row>
    <row r="13" spans="1:34" ht="20.75" customHeight="1">
      <c r="A13" s="130">
        <v>8</v>
      </c>
      <c r="B13" s="133" t="str">
        <f>IF(NOT(ISBLANK(Organisateur!B13)),Organisateur!B13," ")</f>
        <v xml:space="preserve"> </v>
      </c>
      <c r="C13" s="269" t="str">
        <f>IF(NOT(ISBLANK(Organisateur!C13)),Organisateur!C13," ")</f>
        <v xml:space="preserve"> </v>
      </c>
      <c r="D13" s="269"/>
      <c r="E13" s="127" t="str">
        <f>IF(NOT(ISBLANK(Organisateur!E13)),Organisateur!E13," ")</f>
        <v xml:space="preserve"> </v>
      </c>
      <c r="F13" s="115" t="str">
        <f>IF(NOT(ISBLANK(Organisateur!F13)),Organisateur!F13," ")</f>
        <v xml:space="preserve"> </v>
      </c>
      <c r="G13" s="115" t="str">
        <f>IF(NOT(ISBLANK(Organisateur!G13)),Organisateur!G13," ")</f>
        <v xml:space="preserve"> </v>
      </c>
      <c r="H13" s="115" t="str">
        <f>IF(NOT(ISBLANK(Organisateur!H13)),Organisateur!H13," ")</f>
        <v xml:space="preserve"> </v>
      </c>
      <c r="I13" s="115" t="str">
        <f>IF(NOT(ISBLANK(Organisateur!I13)),Organisateur!I13," ")</f>
        <v xml:space="preserve"> </v>
      </c>
      <c r="J13" s="115" t="str">
        <f>IF(NOT(ISBLANK(Organisateur!J13)),Organisateur!J13," ")</f>
        <v xml:space="preserve"> </v>
      </c>
      <c r="K13" s="45"/>
      <c r="L13" s="46" t="str">
        <f>IF($E13=" "," ",IF($E13=$D$31,VLOOKUP($C13,'Valeurs Règlement Campagne'!$A$4:$AB$7,14,FALSE),VLOOKUP($C13,'Valeurs Règlement Campagne'!$A$4:$M$7,4,FALSE)))</f>
        <v xml:space="preserve"> </v>
      </c>
      <c r="M13" s="47" t="str">
        <f>IF($E13=" "," ",IF($E13=$D$31,VLOOKUP($C13,'Valeurs Règlement Campagne'!$A$4:$AB$7,16,FALSE),VLOOKUP($C13,'Valeurs Règlement Campagne'!$A$4:$AB$7,5,FALSE)))</f>
        <v xml:space="preserve"> </v>
      </c>
      <c r="N13" s="46" t="str">
        <f>IF($E13=" "," ",IF($E13=$D$31,VLOOKUP($C13,'Valeurs Règlement Campagne'!$A$4:$AB$7,17,FALSE),VLOOKUP($C13,'Valeurs Règlement Campagne'!$A$4:$AB$7,6,FALSE)))</f>
        <v xml:space="preserve"> </v>
      </c>
      <c r="O13" s="48" t="str">
        <f>IF($E13=" "," ",IF($E13=$D$31,VLOOKUP($C13,'Valeurs Règlement Campagne'!$A$4:$AB$7,19,FALSE),VLOOKUP($C13,'Valeurs Règlement Campagne'!$A$4:$AB$7,7,FALSE)))</f>
        <v xml:space="preserve"> </v>
      </c>
      <c r="P13" s="49" t="str">
        <f>IF($E13=" "," ",IF($E13=$D$31,VLOOKUP($C13,'Valeurs Règlement Campagne'!$A$4:$AB$7,20,FALSE),VLOOKUP($C13,'Valeurs Règlement Campagne'!$A$4:$AB$7,8,FALSE)))</f>
        <v xml:space="preserve"> </v>
      </c>
      <c r="Q13" s="48" t="str">
        <f>IF($E13=" "," ",IF($E13=$D$31,VLOOKUP($C13,'Valeurs Règlement Campagne'!$A$4:$AB$7,22,FALSE),VLOOKUP($C13,'Valeurs Règlement Campagne'!$A$4:$AB$7,9,FALSE)))</f>
        <v xml:space="preserve"> </v>
      </c>
      <c r="R13" s="52" t="str">
        <f>IF($E13=" "," ",IF($E13=$D$31,VLOOKUP($C13,'Valeurs Règlement Campagne'!$A$4:$AB$7,25,FALSE),VLOOKUP($C13,'Valeurs Règlement Campagne'!$A$4:$AB$7,11,FALSE)))</f>
        <v xml:space="preserve"> </v>
      </c>
      <c r="S13" s="46" t="str">
        <f>IF($E13=" "," ",IF($E13=$D$31,VLOOKUP($C13,'Valeurs Règlement Campagne'!$A$4:$AB$7,26,FALSE),VLOOKUP($C13,'Valeurs Règlement Campagne'!$A$4:$AB$7,12,FALSE)))</f>
        <v xml:space="preserve"> </v>
      </c>
      <c r="T13" s="47" t="str">
        <f>IF($E13=" "," ",IF($E13=$D$31,VLOOKUP($C13,'Valeurs Règlement Campagne'!$A$4:$AB$7,28,FALSE),VLOOKUP($C13,'Valeurs Règlement Campagne'!$A$4:$AB$7,13,FALSE)))</f>
        <v xml:space="preserve"> </v>
      </c>
      <c r="U13" s="53" t="str" cm="1">
        <f t="array" ref="U13">IF(C13=" "," ",IF(AND(E13="Connues",AH13&lt;&gt;"",COUNTIFS(AH$6:AH$29,AH13,C$6:C$29,C13)&gt;1),"Doublon",IF(AND(E13="Connues",SUMPRODUCT((E$6:E$29="Connues")*(C$6:C$29=C13)*(ROW($6:$29)&lt;&gt;ROW())*(IFERROR(ABS(F$6:F$29-F13)&lt;=2,FALSE))*((IFERROR(ABS(F$6:F$29-VLOOKUP(C13,'Valeurs Règlement Campagne'!$A$4:$AB$7,14,FALSE))&lt;=2,FALSE))+(IFERROR(ABS(F$6:F$29-VLOOKUP(C13,'Valeurs Règlement Campagne'!$A$4:$AB$7,15,FALSE))&lt;=2,FALSE))+(IFERROR(ABS(F$6:F$29-VLOOKUP(C13,'Valeurs Règlement Campagne'!$A$4:$AB$7,16,FALSE))&lt;=2,FALSE))))&gt;0),"Doublon",IF($C13=" "," ",IF(F13=" "," ",IF(E13="Inconnues",AND(F13&gt;=L13,F13&lt;=M13),IF(AND('Valeurs Règlement Campagne'!$L$14="OUI",E13="Connues"),AND(F13&gt;=L13-2,F13&lt;=M13+2),OR(F13=L13,F13=L13+5,F13=M13))))))))</f>
        <v xml:space="preserve"> </v>
      </c>
      <c r="V13" s="54" t="str" cm="1">
        <f t="array" ref="V13">IF(C13=" "," ",IF(AND(E13="Connues",AH13&lt;&gt;"",COUNTIFS(AH$6:AH$29,AH13,C$6:C$29,C13)&gt;1),"Doublon",IF(AND(E13="Connues",SUMPRODUCT((E$6:E$29="Connues")*(C$6:C$29=C13)*(ROW($6:$29)&lt;&gt;ROW())*(IFERROR(ABS(G$6:G$29-G13)&lt;=2,FALSE))*((IFERROR(ABS(G$6:G$29-VLOOKUP(C13,'Valeurs Règlement Campagne'!$A$4:$AB$7,17,FALSE))&lt;=2,FALSE))+(IFERROR(ABS(G$6:G$29-VLOOKUP(C13,'Valeurs Règlement Campagne'!$A$4:$AB$7,18,FALSE))&lt;=2,FALSE))+(IFERROR(ABS(G$6:G$29-VLOOKUP(C13,'Valeurs Règlement Campagne'!$A$4:$AB$7,19,FALSE))&lt;=2,FALSE))))&gt;0),"Doublon",IF($C13=" "," ",IF(G13=" "," ",IF(E13="Inconnues",AND(G13&gt;=N13,G13&lt;=O13),IF(AND('Valeurs Règlement Campagne'!$L$14="OUI",E13="Connues"),AND(G13&gt;=N13-2,G13&lt;=O13+2),OR(G13=N13,G13=N13+5,G13=O13))))))))</f>
        <v xml:space="preserve"> </v>
      </c>
      <c r="W13" s="54" t="str" cm="1">
        <f t="array" ref="W13">IF(C13=" "," ",IF(AND(E13="Connues",AE13&lt;&gt;"",COUNTIFS(AE$6:AE$29,AE13,C$6:C$29,C13)&gt;1),"Doublon",IF(AND(E13="Connues",SUMPRODUCT((E$6:E$29="Connues")*(C$6:C$29=C13)*(ROW($6:$29)&lt;&gt;ROW())*(IFERROR(ABS(H$6:H$29-H13)&lt;=2,FALSE))*((IFERROR(ABS(H$6:H$29-VLOOKUP(C13,'Valeurs Règlement Campagne'!$A$4:$AB$7,20,FALSE))&lt;=2,FALSE))+(IFERROR(ABS(H$6:H$29-VLOOKUP(C13,'Valeurs Règlement Campagne'!$A$4:$AB$7,21,FALSE))&lt;=2,FALSE))+(IFERROR(ABS(H$6:H$29-VLOOKUP(C13,'Valeurs Règlement Campagne'!$A$4:$AB$7,22,FALSE))&lt;=2,FALSE))))&gt;0),"Doublon",IF($C13=" "," ",IF(H13=" "," ",IF(E13="Inconnues",AND(H13&gt;=P13,H13&lt;=Q13),IF(AND('Valeurs Règlement Campagne'!$L$14="OUI",E13="Connues"),AND(H13&gt;=P13-2,H13&lt;=Q13+2),OR(H13=P13,H13=P13+5,H13=P13))))))))</f>
        <v xml:space="preserve"> </v>
      </c>
      <c r="X13" s="54" t="str" cm="1">
        <f t="array" ref="X13">IF(C13=" "," ",IF(AND(E13="Connues",AH13&lt;&gt;"",COUNTIFS(AH$6:AH$29,AH13,C$6:C$29,C13)&gt;1),"Doublon",IF(AND(E13="Connues",SUMPRODUCT((E$6:E$29="Connues")*(C$6:C$29=C13)*(ROW($6:$29)&lt;&gt;ROW())*(IFERROR(ABS(I$6:I$29-I13)&lt;=2,FALSE))*((IFERROR(ABS(I$6:I$29-VLOOKUP(C13,'Valeurs Règlement Campagne'!$A$4:$AB$7,23,FALSE))&lt;=2,FALSE))+(IFERROR(ABS(I$6:I$29-VLOOKUP(C13,'Valeurs Règlement Campagne'!$A$4:$AB$7,24,FALSE))&lt;=2,FALSE))+(IFERROR(ABS(I$6:I$29-VLOOKUP(C13,'Valeurs Règlement Campagne'!$A$4:$AB$7,25,FALSE))&lt;=2,FALSE))))&gt;0),"Doublon",IF($C13=" "," ",IF(I13=" "," ",IF(E13="Inconnues",AND(I13&gt;=P13,I13&lt;=R13),IF(AND('Valeurs Règlement Campagne'!$L$14="OUI",E13="Connues"),AND(I13&gt;=P13-2,I13&lt;=R13+2),OR(I13=P13,I13=P13+5,I13=P13))))))))</f>
        <v xml:space="preserve"> </v>
      </c>
      <c r="Y13" s="322" t="str" cm="1">
        <f t="array" ref="Y13">IF(C13=" "," ",IF(AND(E13="Connues",AH13&lt;&gt;"",COUNTIFS(AH$6:AH$29,AH13,C$6:C$29,C13)&gt;1),"Doublon",IF(AND(E13="Connues",SUMPRODUCT((E$6:E$29="Connues")*(C$6:C$29=C13)*(ROW($6:$29)&lt;&gt;ROW())*(IFERROR(ABS(J$6:J$29-J13)&lt;=2,FALSE))*((IFERROR(ABS(J$6:J$29-VLOOKUP(C13,'Valeurs Règlement Campagne'!$A$4:$AB$7,26,FALSE))&lt;=2,FALSE))+(IFERROR(ABS(J$6:J$29-VLOOKUP(C13,'Valeurs Règlement Campagne'!$A$4:$AB$7,27,FALSE))&lt;=2,FALSE))+(IFERROR(ABS(J$6:J$29-VLOOKUP(C13,'Valeurs Règlement Campagne'!$A$4:$AB$7,28,FALSE))&lt;=2,FALSE))))&gt;0),"Doublon",IF($C13=" "," ",IF(J13=" "," ",IF(E13="Inconnues",AND(J13&gt;=S13,J13&lt;=T13),IF(AND('Valeurs Règlement Campagne'!$L$14="OUI",E13="Connues"),AND(J13&gt;=S13-2,J13&lt;=T13+2),OR(J13=S13,J13=S13+5,J13=S13))))))))</f>
        <v xml:space="preserve"> </v>
      </c>
      <c r="Z13" s="320" t="str">
        <f t="shared" si="0"/>
        <v xml:space="preserve"> </v>
      </c>
      <c r="AA13" s="233"/>
      <c r="AB13" s="233" t="str">
        <f t="shared" si="1"/>
        <v xml:space="preserve"> </v>
      </c>
      <c r="AC13" s="233"/>
      <c r="AD13" s="233" t="str">
        <f t="shared" si="2"/>
        <v xml:space="preserve"> </v>
      </c>
      <c r="AE13" s="233"/>
      <c r="AF13" s="233" t="str">
        <f t="shared" si="3"/>
        <v xml:space="preserve"> </v>
      </c>
      <c r="AG13" s="234"/>
      <c r="AH13" s="55" t="str">
        <f t="shared" si="4"/>
        <v/>
      </c>
    </row>
    <row r="14" spans="1:34" ht="20.75" customHeight="1">
      <c r="A14" s="130">
        <v>9</v>
      </c>
      <c r="B14" s="133" t="str">
        <f>IF(NOT(ISBLANK(Organisateur!B14)),Organisateur!B14," ")</f>
        <v xml:space="preserve"> </v>
      </c>
      <c r="C14" s="269" t="str">
        <f>IF(NOT(ISBLANK(Organisateur!C14)),Organisateur!C14," ")</f>
        <v xml:space="preserve"> </v>
      </c>
      <c r="D14" s="269"/>
      <c r="E14" s="127" t="str">
        <f>IF(NOT(ISBLANK(Organisateur!E14)),Organisateur!E14," ")</f>
        <v xml:space="preserve"> </v>
      </c>
      <c r="F14" s="115" t="str">
        <f>IF(NOT(ISBLANK(Organisateur!F14)),Organisateur!F14," ")</f>
        <v xml:space="preserve"> </v>
      </c>
      <c r="G14" s="115" t="str">
        <f>IF(NOT(ISBLANK(Organisateur!G14)),Organisateur!G14," ")</f>
        <v xml:space="preserve"> </v>
      </c>
      <c r="H14" s="115" t="str">
        <f>IF(NOT(ISBLANK(Organisateur!H14)),Organisateur!H14," ")</f>
        <v xml:space="preserve"> </v>
      </c>
      <c r="I14" s="115" t="str">
        <f>IF(NOT(ISBLANK(Organisateur!I14)),Organisateur!I14," ")</f>
        <v xml:space="preserve"> </v>
      </c>
      <c r="J14" s="115" t="str">
        <f>IF(NOT(ISBLANK(Organisateur!J14)),Organisateur!J14," ")</f>
        <v xml:space="preserve"> </v>
      </c>
      <c r="K14" s="45"/>
      <c r="L14" s="46" t="str">
        <f>IF($E14=" "," ",IF($E14=$D$31,VLOOKUP($C14,'Valeurs Règlement Campagne'!$A$4:$AB$7,14,FALSE),VLOOKUP($C14,'Valeurs Règlement Campagne'!$A$4:$M$7,4,FALSE)))</f>
        <v xml:space="preserve"> </v>
      </c>
      <c r="M14" s="47" t="str">
        <f>IF($E14=" "," ",IF($E14=$D$31,VLOOKUP($C14,'Valeurs Règlement Campagne'!$A$4:$AB$7,16,FALSE),VLOOKUP($C14,'Valeurs Règlement Campagne'!$A$4:$AB$7,5,FALSE)))</f>
        <v xml:space="preserve"> </v>
      </c>
      <c r="N14" s="46" t="str">
        <f>IF($E14=" "," ",IF($E14=$D$31,VLOOKUP($C14,'Valeurs Règlement Campagne'!$A$4:$AB$7,17,FALSE),VLOOKUP($C14,'Valeurs Règlement Campagne'!$A$4:$AB$7,6,FALSE)))</f>
        <v xml:space="preserve"> </v>
      </c>
      <c r="O14" s="48" t="str">
        <f>IF($E14=" "," ",IF($E14=$D$31,VLOOKUP($C14,'Valeurs Règlement Campagne'!$A$4:$AB$7,19,FALSE),VLOOKUP($C14,'Valeurs Règlement Campagne'!$A$4:$AB$7,7,FALSE)))</f>
        <v xml:space="preserve"> </v>
      </c>
      <c r="P14" s="49" t="str">
        <f>IF($E14=" "," ",IF($E14=$D$31,VLOOKUP($C14,'Valeurs Règlement Campagne'!$A$4:$AB$7,20,FALSE),VLOOKUP($C14,'Valeurs Règlement Campagne'!$A$4:$AB$7,8,FALSE)))</f>
        <v xml:space="preserve"> </v>
      </c>
      <c r="Q14" s="48" t="str">
        <f>IF($E14=" "," ",IF($E14=$D$31,VLOOKUP($C14,'Valeurs Règlement Campagne'!$A$4:$AB$7,22,FALSE),VLOOKUP($C14,'Valeurs Règlement Campagne'!$A$4:$AB$7,9,FALSE)))</f>
        <v xml:space="preserve"> </v>
      </c>
      <c r="R14" s="52" t="str">
        <f>IF($E14=" "," ",IF($E14=$D$31,VLOOKUP($C14,'Valeurs Règlement Campagne'!$A$4:$AB$7,25,FALSE),VLOOKUP($C14,'Valeurs Règlement Campagne'!$A$4:$AB$7,11,FALSE)))</f>
        <v xml:space="preserve"> </v>
      </c>
      <c r="S14" s="46" t="str">
        <f>IF($E14=" "," ",IF($E14=$D$31,VLOOKUP($C14,'Valeurs Règlement Campagne'!$A$4:$AB$7,26,FALSE),VLOOKUP($C14,'Valeurs Règlement Campagne'!$A$4:$AB$7,12,FALSE)))</f>
        <v xml:space="preserve"> </v>
      </c>
      <c r="T14" s="47" t="str">
        <f>IF($E14=" "," ",IF($E14=$D$31,VLOOKUP($C14,'Valeurs Règlement Campagne'!$A$4:$AB$7,28,FALSE),VLOOKUP($C14,'Valeurs Règlement Campagne'!$A$4:$AB$7,13,FALSE)))</f>
        <v xml:space="preserve"> </v>
      </c>
      <c r="U14" s="53" t="str" cm="1">
        <f t="array" ref="U14">IF(C14=" "," ",IF(AND(E14="Connues",AH14&lt;&gt;"",COUNTIFS(AH$6:AH$29,AH14,C$6:C$29,C14)&gt;1),"Doublon",IF(AND(E14="Connues",SUMPRODUCT((E$6:E$29="Connues")*(C$6:C$29=C14)*(ROW($6:$29)&lt;&gt;ROW())*(IFERROR(ABS(F$6:F$29-F14)&lt;=2,FALSE))*((IFERROR(ABS(F$6:F$29-VLOOKUP(C14,'Valeurs Règlement Campagne'!$A$4:$AB$7,14,FALSE))&lt;=2,FALSE))+(IFERROR(ABS(F$6:F$29-VLOOKUP(C14,'Valeurs Règlement Campagne'!$A$4:$AB$7,15,FALSE))&lt;=2,FALSE))+(IFERROR(ABS(F$6:F$29-VLOOKUP(C14,'Valeurs Règlement Campagne'!$A$4:$AB$7,16,FALSE))&lt;=2,FALSE))))&gt;0),"Doublon",IF($C14=" "," ",IF(F14=" "," ",IF(E14="Inconnues",AND(F14&gt;=L14,F14&lt;=M14),IF(AND('Valeurs Règlement Campagne'!$L$14="OUI",E14="Connues"),AND(F14&gt;=L14-2,F14&lt;=M14+2),OR(F14=L14,F14=L14+5,F14=M14))))))))</f>
        <v xml:space="preserve"> </v>
      </c>
      <c r="V14" s="54" t="str" cm="1">
        <f t="array" ref="V14">IF(C14=" "," ",IF(AND(E14="Connues",AH14&lt;&gt;"",COUNTIFS(AH$6:AH$29,AH14,C$6:C$29,C14)&gt;1),"Doublon",IF(AND(E14="Connues",SUMPRODUCT((E$6:E$29="Connues")*(C$6:C$29=C14)*(ROW($6:$29)&lt;&gt;ROW())*(IFERROR(ABS(G$6:G$29-G14)&lt;=2,FALSE))*((IFERROR(ABS(G$6:G$29-VLOOKUP(C14,'Valeurs Règlement Campagne'!$A$4:$AB$7,17,FALSE))&lt;=2,FALSE))+(IFERROR(ABS(G$6:G$29-VLOOKUP(C14,'Valeurs Règlement Campagne'!$A$4:$AB$7,18,FALSE))&lt;=2,FALSE))+(IFERROR(ABS(G$6:G$29-VLOOKUP(C14,'Valeurs Règlement Campagne'!$A$4:$AB$7,19,FALSE))&lt;=2,FALSE))))&gt;0),"Doublon",IF($C14=" "," ",IF(G14=" "," ",IF(E14="Inconnues",AND(G14&gt;=N14,G14&lt;=O14),IF(AND('Valeurs Règlement Campagne'!$L$14="OUI",E14="Connues"),AND(G14&gt;=N14-2,G14&lt;=O14+2),OR(G14=N14,G14=N14+5,G14=O14))))))))</f>
        <v xml:space="preserve"> </v>
      </c>
      <c r="W14" s="54" t="str" cm="1">
        <f t="array" ref="W14">IF(C14=" "," ",IF(AND(E14="Connues",AE14&lt;&gt;"",COUNTIFS(AE$6:AE$29,AE14,C$6:C$29,C14)&gt;1),"Doublon",IF(AND(E14="Connues",SUMPRODUCT((E$6:E$29="Connues")*(C$6:C$29=C14)*(ROW($6:$29)&lt;&gt;ROW())*(IFERROR(ABS(H$6:H$29-H14)&lt;=2,FALSE))*((IFERROR(ABS(H$6:H$29-VLOOKUP(C14,'Valeurs Règlement Campagne'!$A$4:$AB$7,20,FALSE))&lt;=2,FALSE))+(IFERROR(ABS(H$6:H$29-VLOOKUP(C14,'Valeurs Règlement Campagne'!$A$4:$AB$7,21,FALSE))&lt;=2,FALSE))+(IFERROR(ABS(H$6:H$29-VLOOKUP(C14,'Valeurs Règlement Campagne'!$A$4:$AB$7,22,FALSE))&lt;=2,FALSE))))&gt;0),"Doublon",IF($C14=" "," ",IF(H14=" "," ",IF(E14="Inconnues",AND(H14&gt;=P14,H14&lt;=Q14),IF(AND('Valeurs Règlement Campagne'!$L$14="OUI",E14="Connues"),AND(H14&gt;=P14-2,H14&lt;=Q14+2),OR(H14=P14,H14=P14+5,H14=P14))))))))</f>
        <v xml:space="preserve"> </v>
      </c>
      <c r="X14" s="54" t="str" cm="1">
        <f t="array" ref="X14">IF(C14=" "," ",IF(AND(E14="Connues",AH14&lt;&gt;"",COUNTIFS(AH$6:AH$29,AH14,C$6:C$29,C14)&gt;1),"Doublon",IF(AND(E14="Connues",SUMPRODUCT((E$6:E$29="Connues")*(C$6:C$29=C14)*(ROW($6:$29)&lt;&gt;ROW())*(IFERROR(ABS(I$6:I$29-I14)&lt;=2,FALSE))*((IFERROR(ABS(I$6:I$29-VLOOKUP(C14,'Valeurs Règlement Campagne'!$A$4:$AB$7,23,FALSE))&lt;=2,FALSE))+(IFERROR(ABS(I$6:I$29-VLOOKUP(C14,'Valeurs Règlement Campagne'!$A$4:$AB$7,24,FALSE))&lt;=2,FALSE))+(IFERROR(ABS(I$6:I$29-VLOOKUP(C14,'Valeurs Règlement Campagne'!$A$4:$AB$7,25,FALSE))&lt;=2,FALSE))))&gt;0),"Doublon",IF($C14=" "," ",IF(I14=" "," ",IF(E14="Inconnues",AND(I14&gt;=P14,I14&lt;=R14),IF(AND('Valeurs Règlement Campagne'!$L$14="OUI",E14="Connues"),AND(I14&gt;=P14-2,I14&lt;=R14+2),OR(I14=P14,I14=P14+5,I14=P14))))))))</f>
        <v xml:space="preserve"> </v>
      </c>
      <c r="Y14" s="322" t="str" cm="1">
        <f t="array" ref="Y14">IF(C14=" "," ",IF(AND(E14="Connues",AH14&lt;&gt;"",COUNTIFS(AH$6:AH$29,AH14,C$6:C$29,C14)&gt;1),"Doublon",IF(AND(E14="Connues",SUMPRODUCT((E$6:E$29="Connues")*(C$6:C$29=C14)*(ROW($6:$29)&lt;&gt;ROW())*(IFERROR(ABS(J$6:J$29-J14)&lt;=2,FALSE))*((IFERROR(ABS(J$6:J$29-VLOOKUP(C14,'Valeurs Règlement Campagne'!$A$4:$AB$7,26,FALSE))&lt;=2,FALSE))+(IFERROR(ABS(J$6:J$29-VLOOKUP(C14,'Valeurs Règlement Campagne'!$A$4:$AB$7,27,FALSE))&lt;=2,FALSE))+(IFERROR(ABS(J$6:J$29-VLOOKUP(C14,'Valeurs Règlement Campagne'!$A$4:$AB$7,28,FALSE))&lt;=2,FALSE))))&gt;0),"Doublon",IF($C14=" "," ",IF(J14=" "," ",IF(E14="Inconnues",AND(J14&gt;=S14,J14&lt;=T14),IF(AND('Valeurs Règlement Campagne'!$L$14="OUI",E14="Connues"),AND(J14&gt;=S14-2,J14&lt;=T14+2),OR(J14=S14,J14=S14+5,J14=S14))))))))</f>
        <v xml:space="preserve"> </v>
      </c>
      <c r="Z14" s="320" t="str">
        <f t="shared" si="0"/>
        <v xml:space="preserve"> </v>
      </c>
      <c r="AA14" s="233"/>
      <c r="AB14" s="233" t="str">
        <f t="shared" si="1"/>
        <v xml:space="preserve"> </v>
      </c>
      <c r="AC14" s="233"/>
      <c r="AD14" s="233" t="str">
        <f t="shared" si="2"/>
        <v xml:space="preserve"> </v>
      </c>
      <c r="AE14" s="233"/>
      <c r="AF14" s="233" t="str">
        <f t="shared" si="3"/>
        <v xml:space="preserve"> </v>
      </c>
      <c r="AG14" s="234"/>
      <c r="AH14" s="55" t="str">
        <f t="shared" si="4"/>
        <v/>
      </c>
    </row>
    <row r="15" spans="1:34" ht="20.75" customHeight="1">
      <c r="A15" s="130">
        <v>10</v>
      </c>
      <c r="B15" s="133" t="str">
        <f>IF(NOT(ISBLANK(Organisateur!B15)),Organisateur!B15," ")</f>
        <v xml:space="preserve"> </v>
      </c>
      <c r="C15" s="269" t="str">
        <f>IF(NOT(ISBLANK(Organisateur!C15)),Organisateur!C15," ")</f>
        <v xml:space="preserve"> </v>
      </c>
      <c r="D15" s="269"/>
      <c r="E15" s="127" t="str">
        <f>IF(NOT(ISBLANK(Organisateur!E15)),Organisateur!E15," ")</f>
        <v xml:space="preserve"> </v>
      </c>
      <c r="F15" s="115" t="str">
        <f>IF(NOT(ISBLANK(Organisateur!F15)),Organisateur!F15," ")</f>
        <v xml:space="preserve"> </v>
      </c>
      <c r="G15" s="115" t="str">
        <f>IF(NOT(ISBLANK(Organisateur!G15)),Organisateur!G15," ")</f>
        <v xml:space="preserve"> </v>
      </c>
      <c r="H15" s="115" t="str">
        <f>IF(NOT(ISBLANK(Organisateur!H15)),Organisateur!H15," ")</f>
        <v xml:space="preserve"> </v>
      </c>
      <c r="I15" s="115" t="str">
        <f>IF(NOT(ISBLANK(Organisateur!I15)),Organisateur!I15," ")</f>
        <v xml:space="preserve"> </v>
      </c>
      <c r="J15" s="115" t="str">
        <f>IF(NOT(ISBLANK(Organisateur!J15)),Organisateur!J15," ")</f>
        <v xml:space="preserve"> </v>
      </c>
      <c r="K15" s="45"/>
      <c r="L15" s="46" t="str">
        <f>IF($E15=" "," ",IF($E15=$D$31,VLOOKUP($C15,'Valeurs Règlement Campagne'!$A$4:$AB$7,14,FALSE),VLOOKUP($C15,'Valeurs Règlement Campagne'!$A$4:$M$7,4,FALSE)))</f>
        <v xml:space="preserve"> </v>
      </c>
      <c r="M15" s="47" t="str">
        <f>IF($E15=" "," ",IF($E15=$D$31,VLOOKUP($C15,'Valeurs Règlement Campagne'!$A$4:$AB$7,16,FALSE),VLOOKUP($C15,'Valeurs Règlement Campagne'!$A$4:$AB$7,5,FALSE)))</f>
        <v xml:space="preserve"> </v>
      </c>
      <c r="N15" s="46" t="str">
        <f>IF($E15=" "," ",IF($E15=$D$31,VLOOKUP($C15,'Valeurs Règlement Campagne'!$A$4:$AB$7,17,FALSE),VLOOKUP($C15,'Valeurs Règlement Campagne'!$A$4:$AB$7,6,FALSE)))</f>
        <v xml:space="preserve"> </v>
      </c>
      <c r="O15" s="48" t="str">
        <f>IF($E15=" "," ",IF($E15=$D$31,VLOOKUP($C15,'Valeurs Règlement Campagne'!$A$4:$AB$7,19,FALSE),VLOOKUP($C15,'Valeurs Règlement Campagne'!$A$4:$AB$7,7,FALSE)))</f>
        <v xml:space="preserve"> </v>
      </c>
      <c r="P15" s="49" t="str">
        <f>IF($E15=" "," ",IF($E15=$D$31,VLOOKUP($C15,'Valeurs Règlement Campagne'!$A$4:$AB$7,20,FALSE),VLOOKUP($C15,'Valeurs Règlement Campagne'!$A$4:$AB$7,8,FALSE)))</f>
        <v xml:space="preserve"> </v>
      </c>
      <c r="Q15" s="48" t="str">
        <f>IF($E15=" "," ",IF($E15=$D$31,VLOOKUP($C15,'Valeurs Règlement Campagne'!$A$4:$AB$7,22,FALSE),VLOOKUP($C15,'Valeurs Règlement Campagne'!$A$4:$AB$7,9,FALSE)))</f>
        <v xml:space="preserve"> </v>
      </c>
      <c r="R15" s="52" t="str">
        <f>IF($E15=" "," ",IF($E15=$D$31,VLOOKUP($C15,'Valeurs Règlement Campagne'!$A$4:$AB$7,25,FALSE),VLOOKUP($C15,'Valeurs Règlement Campagne'!$A$4:$AB$7,11,FALSE)))</f>
        <v xml:space="preserve"> </v>
      </c>
      <c r="S15" s="46" t="str">
        <f>IF($E15=" "," ",IF($E15=$D$31,VLOOKUP($C15,'Valeurs Règlement Campagne'!$A$4:$AB$7,26,FALSE),VLOOKUP($C15,'Valeurs Règlement Campagne'!$A$4:$AB$7,12,FALSE)))</f>
        <v xml:space="preserve"> </v>
      </c>
      <c r="T15" s="47" t="str">
        <f>IF($E15=" "," ",IF($E15=$D$31,VLOOKUP($C15,'Valeurs Règlement Campagne'!$A$4:$AB$7,28,FALSE),VLOOKUP($C15,'Valeurs Règlement Campagne'!$A$4:$AB$7,13,FALSE)))</f>
        <v xml:space="preserve"> </v>
      </c>
      <c r="U15" s="53" t="str" cm="1">
        <f t="array" ref="U15">IF(C15=" "," ",IF(AND(E15="Connues",AH15&lt;&gt;"",COUNTIFS(AH$6:AH$29,AH15,C$6:C$29,C15)&gt;1),"Doublon",IF(AND(E15="Connues",SUMPRODUCT((E$6:E$29="Connues")*(C$6:C$29=C15)*(ROW($6:$29)&lt;&gt;ROW())*(IFERROR(ABS(F$6:F$29-F15)&lt;=2,FALSE))*((IFERROR(ABS(F$6:F$29-VLOOKUP(C15,'Valeurs Règlement Campagne'!$A$4:$AB$7,14,FALSE))&lt;=2,FALSE))+(IFERROR(ABS(F$6:F$29-VLOOKUP(C15,'Valeurs Règlement Campagne'!$A$4:$AB$7,15,FALSE))&lt;=2,FALSE))+(IFERROR(ABS(F$6:F$29-VLOOKUP(C15,'Valeurs Règlement Campagne'!$A$4:$AB$7,16,FALSE))&lt;=2,FALSE))))&gt;0),"Doublon",IF($C15=" "," ",IF(F15=" "," ",IF(E15="Inconnues",AND(F15&gt;=L15,F15&lt;=M15),IF(AND('Valeurs Règlement Campagne'!$L$14="OUI",E15="Connues"),AND(F15&gt;=L15-2,F15&lt;=M15+2),OR(F15=L15,F15=L15+5,F15=M15))))))))</f>
        <v xml:space="preserve"> </v>
      </c>
      <c r="V15" s="54" t="str" cm="1">
        <f t="array" ref="V15">IF(C15=" "," ",IF(AND(E15="Connues",AH15&lt;&gt;"",COUNTIFS(AH$6:AH$29,AH15,C$6:C$29,C15)&gt;1),"Doublon",IF(AND(E15="Connues",SUMPRODUCT((E$6:E$29="Connues")*(C$6:C$29=C15)*(ROW($6:$29)&lt;&gt;ROW())*(IFERROR(ABS(G$6:G$29-G15)&lt;=2,FALSE))*((IFERROR(ABS(G$6:G$29-VLOOKUP(C15,'Valeurs Règlement Campagne'!$A$4:$AB$7,17,FALSE))&lt;=2,FALSE))+(IFERROR(ABS(G$6:G$29-VLOOKUP(C15,'Valeurs Règlement Campagne'!$A$4:$AB$7,18,FALSE))&lt;=2,FALSE))+(IFERROR(ABS(G$6:G$29-VLOOKUP(C15,'Valeurs Règlement Campagne'!$A$4:$AB$7,19,FALSE))&lt;=2,FALSE))))&gt;0),"Doublon",IF($C15=" "," ",IF(G15=" "," ",IF(E15="Inconnues",AND(G15&gt;=N15,G15&lt;=O15),IF(AND('Valeurs Règlement Campagne'!$L$14="OUI",E15="Connues"),AND(G15&gt;=N15-2,G15&lt;=O15+2),OR(G15=N15,G15=N15+5,G15=O15))))))))</f>
        <v xml:space="preserve"> </v>
      </c>
      <c r="W15" s="54" t="str" cm="1">
        <f t="array" ref="W15">IF(C15=" "," ",IF(AND(E15="Connues",AE15&lt;&gt;"",COUNTIFS(AE$6:AE$29,AE15,C$6:C$29,C15)&gt;1),"Doublon",IF(AND(E15="Connues",SUMPRODUCT((E$6:E$29="Connues")*(C$6:C$29=C15)*(ROW($6:$29)&lt;&gt;ROW())*(IFERROR(ABS(H$6:H$29-H15)&lt;=2,FALSE))*((IFERROR(ABS(H$6:H$29-VLOOKUP(C15,'Valeurs Règlement Campagne'!$A$4:$AB$7,20,FALSE))&lt;=2,FALSE))+(IFERROR(ABS(H$6:H$29-VLOOKUP(C15,'Valeurs Règlement Campagne'!$A$4:$AB$7,21,FALSE))&lt;=2,FALSE))+(IFERROR(ABS(H$6:H$29-VLOOKUP(C15,'Valeurs Règlement Campagne'!$A$4:$AB$7,22,FALSE))&lt;=2,FALSE))))&gt;0),"Doublon",IF($C15=" "," ",IF(H15=" "," ",IF(E15="Inconnues",AND(H15&gt;=P15,H15&lt;=Q15),IF(AND('Valeurs Règlement Campagne'!$L$14="OUI",E15="Connues"),AND(H15&gt;=P15-2,H15&lt;=Q15+2),OR(H15=P15,H15=P15+5,H15=P15))))))))</f>
        <v xml:space="preserve"> </v>
      </c>
      <c r="X15" s="54" t="str" cm="1">
        <f t="array" ref="X15">IF(C15=" "," ",IF(AND(E15="Connues",AH15&lt;&gt;"",COUNTIFS(AH$6:AH$29,AH15,C$6:C$29,C15)&gt;1),"Doublon",IF(AND(E15="Connues",SUMPRODUCT((E$6:E$29="Connues")*(C$6:C$29=C15)*(ROW($6:$29)&lt;&gt;ROW())*(IFERROR(ABS(I$6:I$29-I15)&lt;=2,FALSE))*((IFERROR(ABS(I$6:I$29-VLOOKUP(C15,'Valeurs Règlement Campagne'!$A$4:$AB$7,23,FALSE))&lt;=2,FALSE))+(IFERROR(ABS(I$6:I$29-VLOOKUP(C15,'Valeurs Règlement Campagne'!$A$4:$AB$7,24,FALSE))&lt;=2,FALSE))+(IFERROR(ABS(I$6:I$29-VLOOKUP(C15,'Valeurs Règlement Campagne'!$A$4:$AB$7,25,FALSE))&lt;=2,FALSE))))&gt;0),"Doublon",IF($C15=" "," ",IF(I15=" "," ",IF(E15="Inconnues",AND(I15&gt;=P15,I15&lt;=R15),IF(AND('Valeurs Règlement Campagne'!$L$14="OUI",E15="Connues"),AND(I15&gt;=P15-2,I15&lt;=R15+2),OR(I15=P15,I15=P15+5,I15=P15))))))))</f>
        <v xml:space="preserve"> </v>
      </c>
      <c r="Y15" s="322" t="str" cm="1">
        <f t="array" ref="Y15">IF(C15=" "," ",IF(AND(E15="Connues",AH15&lt;&gt;"",COUNTIFS(AH$6:AH$29,AH15,C$6:C$29,C15)&gt;1),"Doublon",IF(AND(E15="Connues",SUMPRODUCT((E$6:E$29="Connues")*(C$6:C$29=C15)*(ROW($6:$29)&lt;&gt;ROW())*(IFERROR(ABS(J$6:J$29-J15)&lt;=2,FALSE))*((IFERROR(ABS(J$6:J$29-VLOOKUP(C15,'Valeurs Règlement Campagne'!$A$4:$AB$7,26,FALSE))&lt;=2,FALSE))+(IFERROR(ABS(J$6:J$29-VLOOKUP(C15,'Valeurs Règlement Campagne'!$A$4:$AB$7,27,FALSE))&lt;=2,FALSE))+(IFERROR(ABS(J$6:J$29-VLOOKUP(C15,'Valeurs Règlement Campagne'!$A$4:$AB$7,28,FALSE))&lt;=2,FALSE))))&gt;0),"Doublon",IF($C15=" "," ",IF(J15=" "," ",IF(E15="Inconnues",AND(J15&gt;=S15,J15&lt;=T15),IF(AND('Valeurs Règlement Campagne'!$L$14="OUI",E15="Connues"),AND(J15&gt;=S15-2,J15&lt;=T15+2),OR(J15=S15,J15=S15+5,J15=S15))))))))</f>
        <v xml:space="preserve"> </v>
      </c>
      <c r="Z15" s="320" t="str">
        <f t="shared" si="0"/>
        <v xml:space="preserve"> </v>
      </c>
      <c r="AA15" s="233"/>
      <c r="AB15" s="233" t="str">
        <f t="shared" si="1"/>
        <v xml:space="preserve"> </v>
      </c>
      <c r="AC15" s="233"/>
      <c r="AD15" s="233" t="str">
        <f t="shared" si="2"/>
        <v xml:space="preserve"> </v>
      </c>
      <c r="AE15" s="233"/>
      <c r="AF15" s="233" t="str">
        <f t="shared" si="3"/>
        <v xml:space="preserve"> </v>
      </c>
      <c r="AG15" s="234"/>
      <c r="AH15" s="55" t="str">
        <f t="shared" si="4"/>
        <v/>
      </c>
    </row>
    <row r="16" spans="1:34" ht="20.75" customHeight="1">
      <c r="A16" s="130">
        <v>11</v>
      </c>
      <c r="B16" s="133" t="str">
        <f>IF(NOT(ISBLANK(Organisateur!B16)),Organisateur!B16," ")</f>
        <v xml:space="preserve"> </v>
      </c>
      <c r="C16" s="269" t="str">
        <f>IF(NOT(ISBLANK(Organisateur!C16)),Organisateur!C16," ")</f>
        <v xml:space="preserve"> </v>
      </c>
      <c r="D16" s="269"/>
      <c r="E16" s="127" t="str">
        <f>IF(NOT(ISBLANK(Organisateur!E16)),Organisateur!E16," ")</f>
        <v xml:space="preserve"> </v>
      </c>
      <c r="F16" s="115" t="str">
        <f>IF(NOT(ISBLANK(Organisateur!F16)),Organisateur!F16," ")</f>
        <v xml:space="preserve"> </v>
      </c>
      <c r="G16" s="115" t="str">
        <f>IF(NOT(ISBLANK(Organisateur!G16)),Organisateur!G16," ")</f>
        <v xml:space="preserve"> </v>
      </c>
      <c r="H16" s="115" t="str">
        <f>IF(NOT(ISBLANK(Organisateur!H16)),Organisateur!H16," ")</f>
        <v xml:space="preserve"> </v>
      </c>
      <c r="I16" s="115" t="str">
        <f>IF(NOT(ISBLANK(Organisateur!I16)),Organisateur!I16," ")</f>
        <v xml:space="preserve"> </v>
      </c>
      <c r="J16" s="115" t="str">
        <f>IF(NOT(ISBLANK(Organisateur!J16)),Organisateur!J16," ")</f>
        <v xml:space="preserve"> </v>
      </c>
      <c r="K16" s="45"/>
      <c r="L16" s="46" t="str">
        <f>IF($E16=" "," ",IF($E16=$D$31,VLOOKUP($C16,'Valeurs Règlement Campagne'!$A$4:$AB$7,14,FALSE),VLOOKUP($C16,'Valeurs Règlement Campagne'!$A$4:$M$7,4,FALSE)))</f>
        <v xml:space="preserve"> </v>
      </c>
      <c r="M16" s="47" t="str">
        <f>IF($E16=" "," ",IF($E16=$D$31,VLOOKUP($C16,'Valeurs Règlement Campagne'!$A$4:$AB$7,16,FALSE),VLOOKUP($C16,'Valeurs Règlement Campagne'!$A$4:$AB$7,5,FALSE)))</f>
        <v xml:space="preserve"> </v>
      </c>
      <c r="N16" s="46" t="str">
        <f>IF($E16=" "," ",IF($E16=$D$31,VLOOKUP($C16,'Valeurs Règlement Campagne'!$A$4:$AB$7,17,FALSE),VLOOKUP($C16,'Valeurs Règlement Campagne'!$A$4:$AB$7,6,FALSE)))</f>
        <v xml:space="preserve"> </v>
      </c>
      <c r="O16" s="48" t="str">
        <f>IF($E16=" "," ",IF($E16=$D$31,VLOOKUP($C16,'Valeurs Règlement Campagne'!$A$4:$AB$7,19,FALSE),VLOOKUP($C16,'Valeurs Règlement Campagne'!$A$4:$AB$7,7,FALSE)))</f>
        <v xml:space="preserve"> </v>
      </c>
      <c r="P16" s="49" t="str">
        <f>IF($E16=" "," ",IF($E16=$D$31,VLOOKUP($C16,'Valeurs Règlement Campagne'!$A$4:$AB$7,20,FALSE),VLOOKUP($C16,'Valeurs Règlement Campagne'!$A$4:$AB$7,8,FALSE)))</f>
        <v xml:space="preserve"> </v>
      </c>
      <c r="Q16" s="48" t="str">
        <f>IF($E16=" "," ",IF($E16=$D$31,VLOOKUP($C16,'Valeurs Règlement Campagne'!$A$4:$AB$7,22,FALSE),VLOOKUP($C16,'Valeurs Règlement Campagne'!$A$4:$AB$7,9,FALSE)))</f>
        <v xml:space="preserve"> </v>
      </c>
      <c r="R16" s="52" t="str">
        <f>IF($E16=" "," ",IF($E16=$D$31,VLOOKUP($C16,'Valeurs Règlement Campagne'!$A$4:$AB$7,25,FALSE),VLOOKUP($C16,'Valeurs Règlement Campagne'!$A$4:$AB$7,11,FALSE)))</f>
        <v xml:space="preserve"> </v>
      </c>
      <c r="S16" s="46" t="str">
        <f>IF($E16=" "," ",IF($E16=$D$31,VLOOKUP($C16,'Valeurs Règlement Campagne'!$A$4:$AB$7,26,FALSE),VLOOKUP($C16,'Valeurs Règlement Campagne'!$A$4:$AB$7,12,FALSE)))</f>
        <v xml:space="preserve"> </v>
      </c>
      <c r="T16" s="47" t="str">
        <f>IF($E16=" "," ",IF($E16=$D$31,VLOOKUP($C16,'Valeurs Règlement Campagne'!$A$4:$AB$7,28,FALSE),VLOOKUP($C16,'Valeurs Règlement Campagne'!$A$4:$AB$7,13,FALSE)))</f>
        <v xml:space="preserve"> </v>
      </c>
      <c r="U16" s="53" t="str" cm="1">
        <f t="array" ref="U16">IF(C16=" "," ",IF(AND(E16="Connues",AH16&lt;&gt;"",COUNTIFS(AH$6:AH$29,AH16,C$6:C$29,C16)&gt;1),"Doublon",IF(AND(E16="Connues",SUMPRODUCT((E$6:E$29="Connues")*(C$6:C$29=C16)*(ROW($6:$29)&lt;&gt;ROW())*(IFERROR(ABS(F$6:F$29-F16)&lt;=2,FALSE))*((IFERROR(ABS(F$6:F$29-VLOOKUP(C16,'Valeurs Règlement Campagne'!$A$4:$AB$7,14,FALSE))&lt;=2,FALSE))+(IFERROR(ABS(F$6:F$29-VLOOKUP(C16,'Valeurs Règlement Campagne'!$A$4:$AB$7,15,FALSE))&lt;=2,FALSE))+(IFERROR(ABS(F$6:F$29-VLOOKUP(C16,'Valeurs Règlement Campagne'!$A$4:$AB$7,16,FALSE))&lt;=2,FALSE))))&gt;0),"Doublon",IF($C16=" "," ",IF(F16=" "," ",IF(E16="Inconnues",AND(F16&gt;=L16,F16&lt;=M16),IF(AND('Valeurs Règlement Campagne'!$L$14="OUI",E16="Connues"),AND(F16&gt;=L16-2,F16&lt;=M16+2),OR(F16=L16,F16=L16+5,F16=M16))))))))</f>
        <v xml:space="preserve"> </v>
      </c>
      <c r="V16" s="54" t="str" cm="1">
        <f t="array" ref="V16">IF(C16=" "," ",IF(AND(E16="Connues",AH16&lt;&gt;"",COUNTIFS(AH$6:AH$29,AH16,C$6:C$29,C16)&gt;1),"Doublon",IF(AND(E16="Connues",SUMPRODUCT((E$6:E$29="Connues")*(C$6:C$29=C16)*(ROW($6:$29)&lt;&gt;ROW())*(IFERROR(ABS(G$6:G$29-G16)&lt;=2,FALSE))*((IFERROR(ABS(G$6:G$29-VLOOKUP(C16,'Valeurs Règlement Campagne'!$A$4:$AB$7,17,FALSE))&lt;=2,FALSE))+(IFERROR(ABS(G$6:G$29-VLOOKUP(C16,'Valeurs Règlement Campagne'!$A$4:$AB$7,18,FALSE))&lt;=2,FALSE))+(IFERROR(ABS(G$6:G$29-VLOOKUP(C16,'Valeurs Règlement Campagne'!$A$4:$AB$7,19,FALSE))&lt;=2,FALSE))))&gt;0),"Doublon",IF($C16=" "," ",IF(G16=" "," ",IF(E16="Inconnues",AND(G16&gt;=N16,G16&lt;=O16),IF(AND('Valeurs Règlement Campagne'!$L$14="OUI",E16="Connues"),AND(G16&gt;=N16-2,G16&lt;=O16+2),OR(G16=N16,G16=N16+5,G16=O16))))))))</f>
        <v xml:space="preserve"> </v>
      </c>
      <c r="W16" s="54" t="str" cm="1">
        <f t="array" ref="W16">IF(C16=" "," ",IF(AND(E16="Connues",AE16&lt;&gt;"",COUNTIFS(AE$6:AE$29,AE16,C$6:C$29,C16)&gt;1),"Doublon",IF(AND(E16="Connues",SUMPRODUCT((E$6:E$29="Connues")*(C$6:C$29=C16)*(ROW($6:$29)&lt;&gt;ROW())*(IFERROR(ABS(H$6:H$29-H16)&lt;=2,FALSE))*((IFERROR(ABS(H$6:H$29-VLOOKUP(C16,'Valeurs Règlement Campagne'!$A$4:$AB$7,20,FALSE))&lt;=2,FALSE))+(IFERROR(ABS(H$6:H$29-VLOOKUP(C16,'Valeurs Règlement Campagne'!$A$4:$AB$7,21,FALSE))&lt;=2,FALSE))+(IFERROR(ABS(H$6:H$29-VLOOKUP(C16,'Valeurs Règlement Campagne'!$A$4:$AB$7,22,FALSE))&lt;=2,FALSE))))&gt;0),"Doublon",IF($C16=" "," ",IF(H16=" "," ",IF(E16="Inconnues",AND(H16&gt;=P16,H16&lt;=Q16),IF(AND('Valeurs Règlement Campagne'!$L$14="OUI",E16="Connues"),AND(H16&gt;=P16-2,H16&lt;=Q16+2),OR(H16=P16,H16=P16+5,H16=P16))))))))</f>
        <v xml:space="preserve"> </v>
      </c>
      <c r="X16" s="54" t="str" cm="1">
        <f t="array" ref="X16">IF(C16=" "," ",IF(AND(E16="Connues",AH16&lt;&gt;"",COUNTIFS(AH$6:AH$29,AH16,C$6:C$29,C16)&gt;1),"Doublon",IF(AND(E16="Connues",SUMPRODUCT((E$6:E$29="Connues")*(C$6:C$29=C16)*(ROW($6:$29)&lt;&gt;ROW())*(IFERROR(ABS(I$6:I$29-I16)&lt;=2,FALSE))*((IFERROR(ABS(I$6:I$29-VLOOKUP(C16,'Valeurs Règlement Campagne'!$A$4:$AB$7,23,FALSE))&lt;=2,FALSE))+(IFERROR(ABS(I$6:I$29-VLOOKUP(C16,'Valeurs Règlement Campagne'!$A$4:$AB$7,24,FALSE))&lt;=2,FALSE))+(IFERROR(ABS(I$6:I$29-VLOOKUP(C16,'Valeurs Règlement Campagne'!$A$4:$AB$7,25,FALSE))&lt;=2,FALSE))))&gt;0),"Doublon",IF($C16=" "," ",IF(I16=" "," ",IF(E16="Inconnues",AND(I16&gt;=P16,I16&lt;=R16),IF(AND('Valeurs Règlement Campagne'!$L$14="OUI",E16="Connues"),AND(I16&gt;=P16-2,I16&lt;=R16+2),OR(I16=P16,I16=P16+5,I16=P16))))))))</f>
        <v xml:space="preserve"> </v>
      </c>
      <c r="Y16" s="322" t="str" cm="1">
        <f t="array" ref="Y16">IF(C16=" "," ",IF(AND(E16="Connues",AH16&lt;&gt;"",COUNTIFS(AH$6:AH$29,AH16,C$6:C$29,C16)&gt;1),"Doublon",IF(AND(E16="Connues",SUMPRODUCT((E$6:E$29="Connues")*(C$6:C$29=C16)*(ROW($6:$29)&lt;&gt;ROW())*(IFERROR(ABS(J$6:J$29-J16)&lt;=2,FALSE))*((IFERROR(ABS(J$6:J$29-VLOOKUP(C16,'Valeurs Règlement Campagne'!$A$4:$AB$7,26,FALSE))&lt;=2,FALSE))+(IFERROR(ABS(J$6:J$29-VLOOKUP(C16,'Valeurs Règlement Campagne'!$A$4:$AB$7,27,FALSE))&lt;=2,FALSE))+(IFERROR(ABS(J$6:J$29-VLOOKUP(C16,'Valeurs Règlement Campagne'!$A$4:$AB$7,28,FALSE))&lt;=2,FALSE))))&gt;0),"Doublon",IF($C16=" "," ",IF(J16=" "," ",IF(E16="Inconnues",AND(J16&gt;=S16,J16&lt;=T16),IF(AND('Valeurs Règlement Campagne'!$L$14="OUI",E16="Connues"),AND(J16&gt;=S16-2,J16&lt;=T16+2),OR(J16=S16,J16=S16+5,J16=S16))))))))</f>
        <v xml:space="preserve"> </v>
      </c>
      <c r="Z16" s="320" t="str">
        <f t="shared" si="0"/>
        <v xml:space="preserve"> </v>
      </c>
      <c r="AA16" s="233"/>
      <c r="AB16" s="233" t="str">
        <f t="shared" si="1"/>
        <v xml:space="preserve"> </v>
      </c>
      <c r="AC16" s="233"/>
      <c r="AD16" s="233" t="str">
        <f t="shared" si="2"/>
        <v xml:space="preserve"> </v>
      </c>
      <c r="AE16" s="233"/>
      <c r="AF16" s="233" t="str">
        <f t="shared" si="3"/>
        <v xml:space="preserve"> </v>
      </c>
      <c r="AG16" s="234"/>
      <c r="AH16" s="55" t="str">
        <f t="shared" si="4"/>
        <v/>
      </c>
    </row>
    <row r="17" spans="1:213" ht="20.75" customHeight="1">
      <c r="A17" s="130">
        <v>12</v>
      </c>
      <c r="B17" s="133" t="str">
        <f>IF(NOT(ISBLANK(Organisateur!B17)),Organisateur!B17," ")</f>
        <v xml:space="preserve"> </v>
      </c>
      <c r="C17" s="269" t="str">
        <f>IF(NOT(ISBLANK(Organisateur!C17)),Organisateur!C17," ")</f>
        <v xml:space="preserve"> </v>
      </c>
      <c r="D17" s="269"/>
      <c r="E17" s="127" t="str">
        <f>IF(NOT(ISBLANK(Organisateur!E17)),Organisateur!E17," ")</f>
        <v xml:space="preserve"> </v>
      </c>
      <c r="F17" s="115" t="str">
        <f>IF(NOT(ISBLANK(Organisateur!F17)),Organisateur!F17," ")</f>
        <v xml:space="preserve"> </v>
      </c>
      <c r="G17" s="115" t="str">
        <f>IF(NOT(ISBLANK(Organisateur!G17)),Organisateur!G17," ")</f>
        <v xml:space="preserve"> </v>
      </c>
      <c r="H17" s="115" t="str">
        <f>IF(NOT(ISBLANK(Organisateur!H17)),Organisateur!H17," ")</f>
        <v xml:space="preserve"> </v>
      </c>
      <c r="I17" s="115" t="str">
        <f>IF(NOT(ISBLANK(Organisateur!I17)),Organisateur!I17," ")</f>
        <v xml:space="preserve"> </v>
      </c>
      <c r="J17" s="115" t="str">
        <f>IF(NOT(ISBLANK(Organisateur!J17)),Organisateur!J17," ")</f>
        <v xml:space="preserve"> </v>
      </c>
      <c r="K17" s="45"/>
      <c r="L17" s="46" t="str">
        <f>IF($E17=" "," ",IF($E17=$D$31,VLOOKUP($C17,'Valeurs Règlement Campagne'!$A$4:$AB$7,14,FALSE),VLOOKUP($C17,'Valeurs Règlement Campagne'!$A$4:$M$7,4,FALSE)))</f>
        <v xml:space="preserve"> </v>
      </c>
      <c r="M17" s="47" t="str">
        <f>IF($E17=" "," ",IF($E17=$D$31,VLOOKUP($C17,'Valeurs Règlement Campagne'!$A$4:$AB$7,16,FALSE),VLOOKUP($C17,'Valeurs Règlement Campagne'!$A$4:$AB$7,5,FALSE)))</f>
        <v xml:space="preserve"> </v>
      </c>
      <c r="N17" s="46" t="str">
        <f>IF($E17=" "," ",IF($E17=$D$31,VLOOKUP($C17,'Valeurs Règlement Campagne'!$A$4:$AB$7,17,FALSE),VLOOKUP($C17,'Valeurs Règlement Campagne'!$A$4:$AB$7,6,FALSE)))</f>
        <v xml:space="preserve"> </v>
      </c>
      <c r="O17" s="48" t="str">
        <f>IF($E17=" "," ",IF($E17=$D$31,VLOOKUP($C17,'Valeurs Règlement Campagne'!$A$4:$AB$7,19,FALSE),VLOOKUP($C17,'Valeurs Règlement Campagne'!$A$4:$AB$7,7,FALSE)))</f>
        <v xml:space="preserve"> </v>
      </c>
      <c r="P17" s="49" t="str">
        <f>IF($E17=" "," ",IF($E17=$D$31,VLOOKUP($C17,'Valeurs Règlement Campagne'!$A$4:$AB$7,20,FALSE),VLOOKUP($C17,'Valeurs Règlement Campagne'!$A$4:$AB$7,8,FALSE)))</f>
        <v xml:space="preserve"> </v>
      </c>
      <c r="Q17" s="48" t="str">
        <f>IF($E17=" "," ",IF($E17=$D$31,VLOOKUP($C17,'Valeurs Règlement Campagne'!$A$4:$AB$7,22,FALSE),VLOOKUP($C17,'Valeurs Règlement Campagne'!$A$4:$AB$7,9,FALSE)))</f>
        <v xml:space="preserve"> </v>
      </c>
      <c r="R17" s="52" t="str">
        <f>IF($E17=" "," ",IF($E17=$D$31,VLOOKUP($C17,'Valeurs Règlement Campagne'!$A$4:$AB$7,25,FALSE),VLOOKUP($C17,'Valeurs Règlement Campagne'!$A$4:$AB$7,11,FALSE)))</f>
        <v xml:space="preserve"> </v>
      </c>
      <c r="S17" s="46" t="str">
        <f>IF($E17=" "," ",IF($E17=$D$31,VLOOKUP($C17,'Valeurs Règlement Campagne'!$A$4:$AB$7,26,FALSE),VLOOKUP($C17,'Valeurs Règlement Campagne'!$A$4:$AB$7,12,FALSE)))</f>
        <v xml:space="preserve"> </v>
      </c>
      <c r="T17" s="47" t="str">
        <f>IF($E17=" "," ",IF($E17=$D$31,VLOOKUP($C17,'Valeurs Règlement Campagne'!$A$4:$AB$7,28,FALSE),VLOOKUP($C17,'Valeurs Règlement Campagne'!$A$4:$AB$7,13,FALSE)))</f>
        <v xml:space="preserve"> </v>
      </c>
      <c r="U17" s="53" t="str" cm="1">
        <f t="array" ref="U17">IF(C17=" "," ",IF(AND(E17="Connues",AH17&lt;&gt;"",COUNTIFS(AH$6:AH$29,AH17,C$6:C$29,C17)&gt;1),"Doublon",IF(AND(E17="Connues",SUMPRODUCT((E$6:E$29="Connues")*(C$6:C$29=C17)*(ROW($6:$29)&lt;&gt;ROW())*(IFERROR(ABS(F$6:F$29-F17)&lt;=2,FALSE))*((IFERROR(ABS(F$6:F$29-VLOOKUP(C17,'Valeurs Règlement Campagne'!$A$4:$AB$7,14,FALSE))&lt;=2,FALSE))+(IFERROR(ABS(F$6:F$29-VLOOKUP(C17,'Valeurs Règlement Campagne'!$A$4:$AB$7,15,FALSE))&lt;=2,FALSE))+(IFERROR(ABS(F$6:F$29-VLOOKUP(C17,'Valeurs Règlement Campagne'!$A$4:$AB$7,16,FALSE))&lt;=2,FALSE))))&gt;0),"Doublon",IF($C17=" "," ",IF(F17=" "," ",IF(E17="Inconnues",AND(F17&gt;=L17,F17&lt;=M17),IF(AND('Valeurs Règlement Campagne'!$L$14="OUI",E17="Connues"),AND(F17&gt;=L17-2,F17&lt;=M17+2),OR(F17=L17,F17=L17+5,F17=M17))))))))</f>
        <v xml:space="preserve"> </v>
      </c>
      <c r="V17" s="54" t="str" cm="1">
        <f t="array" ref="V17">IF(C17=" "," ",IF(AND(E17="Connues",AH17&lt;&gt;"",COUNTIFS(AH$6:AH$29,AH17,C$6:C$29,C17)&gt;1),"Doublon",IF(AND(E17="Connues",SUMPRODUCT((E$6:E$29="Connues")*(C$6:C$29=C17)*(ROW($6:$29)&lt;&gt;ROW())*(IFERROR(ABS(G$6:G$29-G17)&lt;=2,FALSE))*((IFERROR(ABS(G$6:G$29-VLOOKUP(C17,'Valeurs Règlement Campagne'!$A$4:$AB$7,17,FALSE))&lt;=2,FALSE))+(IFERROR(ABS(G$6:G$29-VLOOKUP(C17,'Valeurs Règlement Campagne'!$A$4:$AB$7,18,FALSE))&lt;=2,FALSE))+(IFERROR(ABS(G$6:G$29-VLOOKUP(C17,'Valeurs Règlement Campagne'!$A$4:$AB$7,19,FALSE))&lt;=2,FALSE))))&gt;0),"Doublon",IF($C17=" "," ",IF(G17=" "," ",IF(E17="Inconnues",AND(G17&gt;=N17,G17&lt;=O17),IF(AND('Valeurs Règlement Campagne'!$L$14="OUI",E17="Connues"),AND(G17&gt;=N17-2,G17&lt;=O17+2),OR(G17=N17,G17=N17+5,G17=O17))))))))</f>
        <v xml:space="preserve"> </v>
      </c>
      <c r="W17" s="54" t="str" cm="1">
        <f t="array" ref="W17">IF(C17=" "," ",IF(AND(E17="Connues",AE17&lt;&gt;"",COUNTIFS(AE$6:AE$29,AE17,C$6:C$29,C17)&gt;1),"Doublon",IF(AND(E17="Connues",SUMPRODUCT((E$6:E$29="Connues")*(C$6:C$29=C17)*(ROW($6:$29)&lt;&gt;ROW())*(IFERROR(ABS(H$6:H$29-H17)&lt;=2,FALSE))*((IFERROR(ABS(H$6:H$29-VLOOKUP(C17,'Valeurs Règlement Campagne'!$A$4:$AB$7,20,FALSE))&lt;=2,FALSE))+(IFERROR(ABS(H$6:H$29-VLOOKUP(C17,'Valeurs Règlement Campagne'!$A$4:$AB$7,21,FALSE))&lt;=2,FALSE))+(IFERROR(ABS(H$6:H$29-VLOOKUP(C17,'Valeurs Règlement Campagne'!$A$4:$AB$7,22,FALSE))&lt;=2,FALSE))))&gt;0),"Doublon",IF($C17=" "," ",IF(H17=" "," ",IF(E17="Inconnues",AND(H17&gt;=P17,H17&lt;=Q17),IF(AND('Valeurs Règlement Campagne'!$L$14="OUI",E17="Connues"),AND(H17&gt;=P17-2,H17&lt;=Q17+2),OR(H17=P17,H17=P17+5,H17=P17))))))))</f>
        <v xml:space="preserve"> </v>
      </c>
      <c r="X17" s="54" t="str" cm="1">
        <f t="array" ref="X17">IF(C17=" "," ",IF(AND(E17="Connues",AH17&lt;&gt;"",COUNTIFS(AH$6:AH$29,AH17,C$6:C$29,C17)&gt;1),"Doublon",IF(AND(E17="Connues",SUMPRODUCT((E$6:E$29="Connues")*(C$6:C$29=C17)*(ROW($6:$29)&lt;&gt;ROW())*(IFERROR(ABS(I$6:I$29-I17)&lt;=2,FALSE))*((IFERROR(ABS(I$6:I$29-VLOOKUP(C17,'Valeurs Règlement Campagne'!$A$4:$AB$7,23,FALSE))&lt;=2,FALSE))+(IFERROR(ABS(I$6:I$29-VLOOKUP(C17,'Valeurs Règlement Campagne'!$A$4:$AB$7,24,FALSE))&lt;=2,FALSE))+(IFERROR(ABS(I$6:I$29-VLOOKUP(C17,'Valeurs Règlement Campagne'!$A$4:$AB$7,25,FALSE))&lt;=2,FALSE))))&gt;0),"Doublon",IF($C17=" "," ",IF(I17=" "," ",IF(E17="Inconnues",AND(I17&gt;=P17,I17&lt;=R17),IF(AND('Valeurs Règlement Campagne'!$L$14="OUI",E17="Connues"),AND(I17&gt;=P17-2,I17&lt;=R17+2),OR(I17=P17,I17=P17+5,I17=P17))))))))</f>
        <v xml:space="preserve"> </v>
      </c>
      <c r="Y17" s="322" t="str" cm="1">
        <f t="array" ref="Y17">IF(C17=" "," ",IF(AND(E17="Connues",AH17&lt;&gt;"",COUNTIFS(AH$6:AH$29,AH17,C$6:C$29,C17)&gt;1),"Doublon",IF(AND(E17="Connues",SUMPRODUCT((E$6:E$29="Connues")*(C$6:C$29=C17)*(ROW($6:$29)&lt;&gt;ROW())*(IFERROR(ABS(J$6:J$29-J17)&lt;=2,FALSE))*((IFERROR(ABS(J$6:J$29-VLOOKUP(C17,'Valeurs Règlement Campagne'!$A$4:$AB$7,26,FALSE))&lt;=2,FALSE))+(IFERROR(ABS(J$6:J$29-VLOOKUP(C17,'Valeurs Règlement Campagne'!$A$4:$AB$7,27,FALSE))&lt;=2,FALSE))+(IFERROR(ABS(J$6:J$29-VLOOKUP(C17,'Valeurs Règlement Campagne'!$A$4:$AB$7,28,FALSE))&lt;=2,FALSE))))&gt;0),"Doublon",IF($C17=" "," ",IF(J17=" "," ",IF(E17="Inconnues",AND(J17&gt;=S17,J17&lt;=T17),IF(AND('Valeurs Règlement Campagne'!$L$14="OUI",E17="Connues"),AND(J17&gt;=S17-2,J17&lt;=T17+2),OR(J17=S17,J17=S17+5,J17=S17))))))))</f>
        <v xml:space="preserve"> </v>
      </c>
      <c r="Z17" s="320" t="str">
        <f t="shared" si="0"/>
        <v xml:space="preserve"> </v>
      </c>
      <c r="AA17" s="233"/>
      <c r="AB17" s="233" t="str">
        <f t="shared" si="1"/>
        <v xml:space="preserve"> </v>
      </c>
      <c r="AC17" s="233"/>
      <c r="AD17" s="233" t="str">
        <f t="shared" si="2"/>
        <v xml:space="preserve"> </v>
      </c>
      <c r="AE17" s="233"/>
      <c r="AF17" s="233" t="str">
        <f t="shared" si="3"/>
        <v xml:space="preserve"> </v>
      </c>
      <c r="AG17" s="234"/>
      <c r="AH17" s="55" t="str">
        <f t="shared" si="4"/>
        <v/>
      </c>
    </row>
    <row r="18" spans="1:213" ht="20.75" customHeight="1">
      <c r="A18" s="130">
        <v>13</v>
      </c>
      <c r="B18" s="133" t="str">
        <f>IF(NOT(ISBLANK(Organisateur!B18)),Organisateur!B18," ")</f>
        <v xml:space="preserve"> </v>
      </c>
      <c r="C18" s="269" t="str">
        <f>IF(NOT(ISBLANK(Organisateur!C18)),Organisateur!C18," ")</f>
        <v xml:space="preserve"> </v>
      </c>
      <c r="D18" s="269"/>
      <c r="E18" s="127" t="str">
        <f>IF(NOT(ISBLANK(Organisateur!E18)),Organisateur!E18," ")</f>
        <v xml:space="preserve"> </v>
      </c>
      <c r="F18" s="115" t="str">
        <f>IF(NOT(ISBLANK(Organisateur!F18)),Organisateur!F18," ")</f>
        <v xml:space="preserve"> </v>
      </c>
      <c r="G18" s="115" t="str">
        <f>IF(NOT(ISBLANK(Organisateur!G18)),Organisateur!G18," ")</f>
        <v xml:space="preserve"> </v>
      </c>
      <c r="H18" s="115" t="str">
        <f>IF(NOT(ISBLANK(Organisateur!H18)),Organisateur!H18," ")</f>
        <v xml:space="preserve"> </v>
      </c>
      <c r="I18" s="115" t="str">
        <f>IF(NOT(ISBLANK(Organisateur!I18)),Organisateur!I18," ")</f>
        <v xml:space="preserve"> </v>
      </c>
      <c r="J18" s="115" t="str">
        <f>IF(NOT(ISBLANK(Organisateur!J18)),Organisateur!J18," ")</f>
        <v xml:space="preserve"> </v>
      </c>
      <c r="K18" s="45"/>
      <c r="L18" s="46" t="str">
        <f>IF($E18=" "," ",IF($E18=$D$31,VLOOKUP($C18,'Valeurs Règlement Campagne'!$A$4:$AB$7,14,FALSE),VLOOKUP($C18,'Valeurs Règlement Campagne'!$A$4:$M$7,4,FALSE)))</f>
        <v xml:space="preserve"> </v>
      </c>
      <c r="M18" s="47" t="str">
        <f>IF($E18=" "," ",IF($E18=$D$31,VLOOKUP($C18,'Valeurs Règlement Campagne'!$A$4:$AB$7,16,FALSE),VLOOKUP($C18,'Valeurs Règlement Campagne'!$A$4:$AB$7,5,FALSE)))</f>
        <v xml:space="preserve"> </v>
      </c>
      <c r="N18" s="46" t="str">
        <f>IF($E18=" "," ",IF($E18=$D$31,VLOOKUP($C18,'Valeurs Règlement Campagne'!$A$4:$AB$7,17,FALSE),VLOOKUP($C18,'Valeurs Règlement Campagne'!$A$4:$AB$7,6,FALSE)))</f>
        <v xml:space="preserve"> </v>
      </c>
      <c r="O18" s="48" t="str">
        <f>IF($E18=" "," ",IF($E18=$D$31,VLOOKUP($C18,'Valeurs Règlement Campagne'!$A$4:$AB$7,19,FALSE),VLOOKUP($C18,'Valeurs Règlement Campagne'!$A$4:$AB$7,7,FALSE)))</f>
        <v xml:space="preserve"> </v>
      </c>
      <c r="P18" s="49" t="str">
        <f>IF($E18=" "," ",IF($E18=$D$31,VLOOKUP($C18,'Valeurs Règlement Campagne'!$A$4:$AB$7,20,FALSE),VLOOKUP($C18,'Valeurs Règlement Campagne'!$A$4:$AB$7,8,FALSE)))</f>
        <v xml:space="preserve"> </v>
      </c>
      <c r="Q18" s="48" t="str">
        <f>IF($E18=" "," ",IF($E18=$D$31,VLOOKUP($C18,'Valeurs Règlement Campagne'!$A$4:$AB$7,22,FALSE),VLOOKUP($C18,'Valeurs Règlement Campagne'!$A$4:$AB$7,9,FALSE)))</f>
        <v xml:space="preserve"> </v>
      </c>
      <c r="R18" s="52" t="str">
        <f>IF($E18=" "," ",IF($E18=$D$31,VLOOKUP($C18,'Valeurs Règlement Campagne'!$A$4:$AB$7,25,FALSE),VLOOKUP($C18,'Valeurs Règlement Campagne'!$A$4:$AB$7,11,FALSE)))</f>
        <v xml:space="preserve"> </v>
      </c>
      <c r="S18" s="46" t="str">
        <f>IF($E18=" "," ",IF($E18=$D$31,VLOOKUP($C18,'Valeurs Règlement Campagne'!$A$4:$AB$7,26,FALSE),VLOOKUP($C18,'Valeurs Règlement Campagne'!$A$4:$AB$7,12,FALSE)))</f>
        <v xml:space="preserve"> </v>
      </c>
      <c r="T18" s="47" t="str">
        <f>IF($E18=" "," ",IF($E18=$D$31,VLOOKUP($C18,'Valeurs Règlement Campagne'!$A$4:$AB$7,28,FALSE),VLOOKUP($C18,'Valeurs Règlement Campagne'!$A$4:$AB$7,13,FALSE)))</f>
        <v xml:space="preserve"> </v>
      </c>
      <c r="U18" s="53" t="str" cm="1">
        <f t="array" ref="U18">IF(C18=" "," ",IF(AND(E18="Connues",AH18&lt;&gt;"",COUNTIFS(AH$6:AH$29,AH18,C$6:C$29,C18)&gt;1),"Doublon",IF(AND(E18="Connues",SUMPRODUCT((E$6:E$29="Connues")*(C$6:C$29=C18)*(ROW($6:$29)&lt;&gt;ROW())*(IFERROR(ABS(F$6:F$29-F18)&lt;=2,FALSE))*((IFERROR(ABS(F$6:F$29-VLOOKUP(C18,'Valeurs Règlement Campagne'!$A$4:$AB$7,14,FALSE))&lt;=2,FALSE))+(IFERROR(ABS(F$6:F$29-VLOOKUP(C18,'Valeurs Règlement Campagne'!$A$4:$AB$7,15,FALSE))&lt;=2,FALSE))+(IFERROR(ABS(F$6:F$29-VLOOKUP(C18,'Valeurs Règlement Campagne'!$A$4:$AB$7,16,FALSE))&lt;=2,FALSE))))&gt;0),"Doublon",IF($C18=" "," ",IF(F18=" "," ",IF(E18="Inconnues",AND(F18&gt;=L18,F18&lt;=M18),IF(AND('Valeurs Règlement Campagne'!$L$14="OUI",E18="Connues"),AND(F18&gt;=L18-2,F18&lt;=M18+2),OR(F18=L18,F18=L18+5,F18=M18))))))))</f>
        <v xml:space="preserve"> </v>
      </c>
      <c r="V18" s="54" t="str" cm="1">
        <f t="array" ref="V18">IF(C18=" "," ",IF(AND(E18="Connues",AH18&lt;&gt;"",COUNTIFS(AH$6:AH$29,AH18,C$6:C$29,C18)&gt;1),"Doublon",IF(AND(E18="Connues",SUMPRODUCT((E$6:E$29="Connues")*(C$6:C$29=C18)*(ROW($6:$29)&lt;&gt;ROW())*(IFERROR(ABS(G$6:G$29-G18)&lt;=2,FALSE))*((IFERROR(ABS(G$6:G$29-VLOOKUP(C18,'Valeurs Règlement Campagne'!$A$4:$AB$7,17,FALSE))&lt;=2,FALSE))+(IFERROR(ABS(G$6:G$29-VLOOKUP(C18,'Valeurs Règlement Campagne'!$A$4:$AB$7,18,FALSE))&lt;=2,FALSE))+(IFERROR(ABS(G$6:G$29-VLOOKUP(C18,'Valeurs Règlement Campagne'!$A$4:$AB$7,19,FALSE))&lt;=2,FALSE))))&gt;0),"Doublon",IF($C18=" "," ",IF(G18=" "," ",IF(E18="Inconnues",AND(G18&gt;=N18,G18&lt;=O18),IF(AND('Valeurs Règlement Campagne'!$L$14="OUI",E18="Connues"),AND(G18&gt;=N18-2,G18&lt;=O18+2),OR(G18=N18,G18=N18+5,G18=O18))))))))</f>
        <v xml:space="preserve"> </v>
      </c>
      <c r="W18" s="54" t="str" cm="1">
        <f t="array" ref="W18">IF(C18=" "," ",IF(AND(E18="Connues",AE18&lt;&gt;"",COUNTIFS(AE$6:AE$29,AE18,C$6:C$29,C18)&gt;1),"Doublon",IF(AND(E18="Connues",SUMPRODUCT((E$6:E$29="Connues")*(C$6:C$29=C18)*(ROW($6:$29)&lt;&gt;ROW())*(IFERROR(ABS(H$6:H$29-H18)&lt;=2,FALSE))*((IFERROR(ABS(H$6:H$29-VLOOKUP(C18,'Valeurs Règlement Campagne'!$A$4:$AB$7,20,FALSE))&lt;=2,FALSE))+(IFERROR(ABS(H$6:H$29-VLOOKUP(C18,'Valeurs Règlement Campagne'!$A$4:$AB$7,21,FALSE))&lt;=2,FALSE))+(IFERROR(ABS(H$6:H$29-VLOOKUP(C18,'Valeurs Règlement Campagne'!$A$4:$AB$7,22,FALSE))&lt;=2,FALSE))))&gt;0),"Doublon",IF($C18=" "," ",IF(H18=" "," ",IF(E18="Inconnues",AND(H18&gt;=P18,H18&lt;=Q18),IF(AND('Valeurs Règlement Campagne'!$L$14="OUI",E18="Connues"),AND(H18&gt;=P18-2,H18&lt;=Q18+2),OR(H18=P18,H18=P18+5,H18=P18))))))))</f>
        <v xml:space="preserve"> </v>
      </c>
      <c r="X18" s="54" t="str" cm="1">
        <f t="array" ref="X18">IF(C18=" "," ",IF(AND(E18="Connues",AH18&lt;&gt;"",COUNTIFS(AH$6:AH$29,AH18,C$6:C$29,C18)&gt;1),"Doublon",IF(AND(E18="Connues",SUMPRODUCT((E$6:E$29="Connues")*(C$6:C$29=C18)*(ROW($6:$29)&lt;&gt;ROW())*(IFERROR(ABS(I$6:I$29-I18)&lt;=2,FALSE))*((IFERROR(ABS(I$6:I$29-VLOOKUP(C18,'Valeurs Règlement Campagne'!$A$4:$AB$7,23,FALSE))&lt;=2,FALSE))+(IFERROR(ABS(I$6:I$29-VLOOKUP(C18,'Valeurs Règlement Campagne'!$A$4:$AB$7,24,FALSE))&lt;=2,FALSE))+(IFERROR(ABS(I$6:I$29-VLOOKUP(C18,'Valeurs Règlement Campagne'!$A$4:$AB$7,25,FALSE))&lt;=2,FALSE))))&gt;0),"Doublon",IF($C18=" "," ",IF(I18=" "," ",IF(E18="Inconnues",AND(I18&gt;=P18,I18&lt;=R18),IF(AND('Valeurs Règlement Campagne'!$L$14="OUI",E18="Connues"),AND(I18&gt;=P18-2,I18&lt;=R18+2),OR(I18=P18,I18=P18+5,I18=P18))))))))</f>
        <v xml:space="preserve"> </v>
      </c>
      <c r="Y18" s="322" t="str" cm="1">
        <f t="array" ref="Y18">IF(C18=" "," ",IF(AND(E18="Connues",AH18&lt;&gt;"",COUNTIFS(AH$6:AH$29,AH18,C$6:C$29,C18)&gt;1),"Doublon",IF(AND(E18="Connues",SUMPRODUCT((E$6:E$29="Connues")*(C$6:C$29=C18)*(ROW($6:$29)&lt;&gt;ROW())*(IFERROR(ABS(J$6:J$29-J18)&lt;=2,FALSE))*((IFERROR(ABS(J$6:J$29-VLOOKUP(C18,'Valeurs Règlement Campagne'!$A$4:$AB$7,26,FALSE))&lt;=2,FALSE))+(IFERROR(ABS(J$6:J$29-VLOOKUP(C18,'Valeurs Règlement Campagne'!$A$4:$AB$7,27,FALSE))&lt;=2,FALSE))+(IFERROR(ABS(J$6:J$29-VLOOKUP(C18,'Valeurs Règlement Campagne'!$A$4:$AB$7,28,FALSE))&lt;=2,FALSE))))&gt;0),"Doublon",IF($C18=" "," ",IF(J18=" "," ",IF(E18="Inconnues",AND(J18&gt;=S18,J18&lt;=T18),IF(AND('Valeurs Règlement Campagne'!$L$14="OUI",E18="Connues"),AND(J18&gt;=S18-2,J18&lt;=T18+2),OR(J18=S18,J18=S18+5,J18=S18))))))))</f>
        <v xml:space="preserve"> </v>
      </c>
      <c r="Z18" s="320" t="str">
        <f t="shared" si="0"/>
        <v xml:space="preserve"> </v>
      </c>
      <c r="AA18" s="233"/>
      <c r="AB18" s="233" t="str">
        <f t="shared" si="1"/>
        <v xml:space="preserve"> </v>
      </c>
      <c r="AC18" s="233"/>
      <c r="AD18" s="233" t="str">
        <f t="shared" si="2"/>
        <v xml:space="preserve"> </v>
      </c>
      <c r="AE18" s="233"/>
      <c r="AF18" s="233" t="str">
        <f t="shared" si="3"/>
        <v xml:space="preserve"> </v>
      </c>
      <c r="AG18" s="234"/>
      <c r="AH18" s="55" t="str">
        <f t="shared" si="4"/>
        <v/>
      </c>
    </row>
    <row r="19" spans="1:213" ht="20.75" customHeight="1">
      <c r="A19" s="130">
        <v>14</v>
      </c>
      <c r="B19" s="133" t="str">
        <f>IF(NOT(ISBLANK(Organisateur!B19)),Organisateur!B19," ")</f>
        <v xml:space="preserve"> </v>
      </c>
      <c r="C19" s="269" t="str">
        <f>IF(NOT(ISBLANK(Organisateur!C19)),Organisateur!C19," ")</f>
        <v xml:space="preserve"> </v>
      </c>
      <c r="D19" s="269"/>
      <c r="E19" s="127" t="str">
        <f>IF(NOT(ISBLANK(Organisateur!E19)),Organisateur!E19," ")</f>
        <v xml:space="preserve"> </v>
      </c>
      <c r="F19" s="115" t="str">
        <f>IF(NOT(ISBLANK(Organisateur!F19)),Organisateur!F19," ")</f>
        <v xml:space="preserve"> </v>
      </c>
      <c r="G19" s="115" t="str">
        <f>IF(NOT(ISBLANK(Organisateur!G19)),Organisateur!G19," ")</f>
        <v xml:space="preserve"> </v>
      </c>
      <c r="H19" s="115" t="str">
        <f>IF(NOT(ISBLANK(Organisateur!H19)),Organisateur!H19," ")</f>
        <v xml:space="preserve"> </v>
      </c>
      <c r="I19" s="115" t="str">
        <f>IF(NOT(ISBLANK(Organisateur!I19)),Organisateur!I19," ")</f>
        <v xml:space="preserve"> </v>
      </c>
      <c r="J19" s="115" t="str">
        <f>IF(NOT(ISBLANK(Organisateur!J19)),Organisateur!J19," ")</f>
        <v xml:space="preserve"> </v>
      </c>
      <c r="K19" s="45"/>
      <c r="L19" s="46" t="str">
        <f>IF($E19=" "," ",IF($E19=$D$31,VLOOKUP($C19,'Valeurs Règlement Campagne'!$A$4:$AB$7,14,FALSE),VLOOKUP($C19,'Valeurs Règlement Campagne'!$A$4:$M$7,4,FALSE)))</f>
        <v xml:space="preserve"> </v>
      </c>
      <c r="M19" s="47" t="str">
        <f>IF($E19=" "," ",IF($E19=$D$31,VLOOKUP($C19,'Valeurs Règlement Campagne'!$A$4:$AB$7,16,FALSE),VLOOKUP($C19,'Valeurs Règlement Campagne'!$A$4:$AB$7,5,FALSE)))</f>
        <v xml:space="preserve"> </v>
      </c>
      <c r="N19" s="46" t="str">
        <f>IF($E19=" "," ",IF($E19=$D$31,VLOOKUP($C19,'Valeurs Règlement Campagne'!$A$4:$AB$7,17,FALSE),VLOOKUP($C19,'Valeurs Règlement Campagne'!$A$4:$AB$7,6,FALSE)))</f>
        <v xml:space="preserve"> </v>
      </c>
      <c r="O19" s="48" t="str">
        <f>IF($E19=" "," ",IF($E19=$D$31,VLOOKUP($C19,'Valeurs Règlement Campagne'!$A$4:$AB$7,19,FALSE),VLOOKUP($C19,'Valeurs Règlement Campagne'!$A$4:$AB$7,7,FALSE)))</f>
        <v xml:space="preserve"> </v>
      </c>
      <c r="P19" s="49" t="str">
        <f>IF($E19=" "," ",IF($E19=$D$31,VLOOKUP($C19,'Valeurs Règlement Campagne'!$A$4:$AB$7,20,FALSE),VLOOKUP($C19,'Valeurs Règlement Campagne'!$A$4:$AB$7,8,FALSE)))</f>
        <v xml:space="preserve"> </v>
      </c>
      <c r="Q19" s="48" t="str">
        <f>IF($E19=" "," ",IF($E19=$D$31,VLOOKUP($C19,'Valeurs Règlement Campagne'!$A$4:$AB$7,22,FALSE),VLOOKUP($C19,'Valeurs Règlement Campagne'!$A$4:$AB$7,9,FALSE)))</f>
        <v xml:space="preserve"> </v>
      </c>
      <c r="R19" s="52" t="str">
        <f>IF($E19=" "," ",IF($E19=$D$31,VLOOKUP($C19,'Valeurs Règlement Campagne'!$A$4:$AB$7,25,FALSE),VLOOKUP($C19,'Valeurs Règlement Campagne'!$A$4:$AB$7,11,FALSE)))</f>
        <v xml:space="preserve"> </v>
      </c>
      <c r="S19" s="46" t="str">
        <f>IF($E19=" "," ",IF($E19=$D$31,VLOOKUP($C19,'Valeurs Règlement Campagne'!$A$4:$AB$7,26,FALSE),VLOOKUP($C19,'Valeurs Règlement Campagne'!$A$4:$AB$7,12,FALSE)))</f>
        <v xml:space="preserve"> </v>
      </c>
      <c r="T19" s="47" t="str">
        <f>IF($E19=" "," ",IF($E19=$D$31,VLOOKUP($C19,'Valeurs Règlement Campagne'!$A$4:$AB$7,28,FALSE),VLOOKUP($C19,'Valeurs Règlement Campagne'!$A$4:$AB$7,13,FALSE)))</f>
        <v xml:space="preserve"> </v>
      </c>
      <c r="U19" s="53" t="str" cm="1">
        <f t="array" ref="U19">IF(C19=" "," ",IF(AND(E19="Connues",AH19&lt;&gt;"",COUNTIFS(AH$6:AH$29,AH19,C$6:C$29,C19)&gt;1),"Doublon",IF(AND(E19="Connues",SUMPRODUCT((E$6:E$29="Connues")*(C$6:C$29=C19)*(ROW($6:$29)&lt;&gt;ROW())*(IFERROR(ABS(F$6:F$29-F19)&lt;=2,FALSE))*((IFERROR(ABS(F$6:F$29-VLOOKUP(C19,'Valeurs Règlement Campagne'!$A$4:$AB$7,14,FALSE))&lt;=2,FALSE))+(IFERROR(ABS(F$6:F$29-VLOOKUP(C19,'Valeurs Règlement Campagne'!$A$4:$AB$7,15,FALSE))&lt;=2,FALSE))+(IFERROR(ABS(F$6:F$29-VLOOKUP(C19,'Valeurs Règlement Campagne'!$A$4:$AB$7,16,FALSE))&lt;=2,FALSE))))&gt;0),"Doublon",IF($C19=" "," ",IF(F19=" "," ",IF(E19="Inconnues",AND(F19&gt;=L19,F19&lt;=M19),IF(AND('Valeurs Règlement Campagne'!$L$14="OUI",E19="Connues"),AND(F19&gt;=L19-2,F19&lt;=M19+2),OR(F19=L19,F19=L19+5,F19=M19))))))))</f>
        <v xml:space="preserve"> </v>
      </c>
      <c r="V19" s="54" t="str" cm="1">
        <f t="array" ref="V19">IF(C19=" "," ",IF(AND(E19="Connues",AH19&lt;&gt;"",COUNTIFS(AH$6:AH$29,AH19,C$6:C$29,C19)&gt;1),"Doublon",IF(AND(E19="Connues",SUMPRODUCT((E$6:E$29="Connues")*(C$6:C$29=C19)*(ROW($6:$29)&lt;&gt;ROW())*(IFERROR(ABS(G$6:G$29-G19)&lt;=2,FALSE))*((IFERROR(ABS(G$6:G$29-VLOOKUP(C19,'Valeurs Règlement Campagne'!$A$4:$AB$7,17,FALSE))&lt;=2,FALSE))+(IFERROR(ABS(G$6:G$29-VLOOKUP(C19,'Valeurs Règlement Campagne'!$A$4:$AB$7,18,FALSE))&lt;=2,FALSE))+(IFERROR(ABS(G$6:G$29-VLOOKUP(C19,'Valeurs Règlement Campagne'!$A$4:$AB$7,19,FALSE))&lt;=2,FALSE))))&gt;0),"Doublon",IF($C19=" "," ",IF(G19=" "," ",IF(E19="Inconnues",AND(G19&gt;=N19,G19&lt;=O19),IF(AND('Valeurs Règlement Campagne'!$L$14="OUI",E19="Connues"),AND(G19&gt;=N19-2,G19&lt;=O19+2),OR(G19=N19,G19=N19+5,G19=O19))))))))</f>
        <v xml:space="preserve"> </v>
      </c>
      <c r="W19" s="54" t="str" cm="1">
        <f t="array" ref="W19">IF(C19=" "," ",IF(AND(E19="Connues",AE19&lt;&gt;"",COUNTIFS(AE$6:AE$29,AE19,C$6:C$29,C19)&gt;1),"Doublon",IF(AND(E19="Connues",SUMPRODUCT((E$6:E$29="Connues")*(C$6:C$29=C19)*(ROW($6:$29)&lt;&gt;ROW())*(IFERROR(ABS(H$6:H$29-H19)&lt;=2,FALSE))*((IFERROR(ABS(H$6:H$29-VLOOKUP(C19,'Valeurs Règlement Campagne'!$A$4:$AB$7,20,FALSE))&lt;=2,FALSE))+(IFERROR(ABS(H$6:H$29-VLOOKUP(C19,'Valeurs Règlement Campagne'!$A$4:$AB$7,21,FALSE))&lt;=2,FALSE))+(IFERROR(ABS(H$6:H$29-VLOOKUP(C19,'Valeurs Règlement Campagne'!$A$4:$AB$7,22,FALSE))&lt;=2,FALSE))))&gt;0),"Doublon",IF($C19=" "," ",IF(H19=" "," ",IF(E19="Inconnues",AND(H19&gt;=P19,H19&lt;=Q19),IF(AND('Valeurs Règlement Campagne'!$L$14="OUI",E19="Connues"),AND(H19&gt;=P19-2,H19&lt;=Q19+2),OR(H19=P19,H19=P19+5,H19=P19))))))))</f>
        <v xml:space="preserve"> </v>
      </c>
      <c r="X19" s="54" t="str" cm="1">
        <f t="array" ref="X19">IF(C19=" "," ",IF(AND(E19="Connues",AH19&lt;&gt;"",COUNTIFS(AH$6:AH$29,AH19,C$6:C$29,C19)&gt;1),"Doublon",IF(AND(E19="Connues",SUMPRODUCT((E$6:E$29="Connues")*(C$6:C$29=C19)*(ROW($6:$29)&lt;&gt;ROW())*(IFERROR(ABS(I$6:I$29-I19)&lt;=2,FALSE))*((IFERROR(ABS(I$6:I$29-VLOOKUP(C19,'Valeurs Règlement Campagne'!$A$4:$AB$7,23,FALSE))&lt;=2,FALSE))+(IFERROR(ABS(I$6:I$29-VLOOKUP(C19,'Valeurs Règlement Campagne'!$A$4:$AB$7,24,FALSE))&lt;=2,FALSE))+(IFERROR(ABS(I$6:I$29-VLOOKUP(C19,'Valeurs Règlement Campagne'!$A$4:$AB$7,25,FALSE))&lt;=2,FALSE))))&gt;0),"Doublon",IF($C19=" "," ",IF(I19=" "," ",IF(E19="Inconnues",AND(I19&gt;=P19,I19&lt;=R19),IF(AND('Valeurs Règlement Campagne'!$L$14="OUI",E19="Connues"),AND(I19&gt;=P19-2,I19&lt;=R19+2),OR(I19=P19,I19=P19+5,I19=P19))))))))</f>
        <v xml:space="preserve"> </v>
      </c>
      <c r="Y19" s="322" t="str" cm="1">
        <f t="array" ref="Y19">IF(C19=" "," ",IF(AND(E19="Connues",AH19&lt;&gt;"",COUNTIFS(AH$6:AH$29,AH19,C$6:C$29,C19)&gt;1),"Doublon",IF(AND(E19="Connues",SUMPRODUCT((E$6:E$29="Connues")*(C$6:C$29=C19)*(ROW($6:$29)&lt;&gt;ROW())*(IFERROR(ABS(J$6:J$29-J19)&lt;=2,FALSE))*((IFERROR(ABS(J$6:J$29-VLOOKUP(C19,'Valeurs Règlement Campagne'!$A$4:$AB$7,26,FALSE))&lt;=2,FALSE))+(IFERROR(ABS(J$6:J$29-VLOOKUP(C19,'Valeurs Règlement Campagne'!$A$4:$AB$7,27,FALSE))&lt;=2,FALSE))+(IFERROR(ABS(J$6:J$29-VLOOKUP(C19,'Valeurs Règlement Campagne'!$A$4:$AB$7,28,FALSE))&lt;=2,FALSE))))&gt;0),"Doublon",IF($C19=" "," ",IF(J19=" "," ",IF(E19="Inconnues",AND(J19&gt;=S19,J19&lt;=T19),IF(AND('Valeurs Règlement Campagne'!$L$14="OUI",E19="Connues"),AND(J19&gt;=S19-2,J19&lt;=T19+2),OR(J19=S19,J19=S19+5,J19=S19))))))))</f>
        <v xml:space="preserve"> </v>
      </c>
      <c r="Z19" s="320" t="str">
        <f t="shared" si="0"/>
        <v xml:space="preserve"> </v>
      </c>
      <c r="AA19" s="233"/>
      <c r="AB19" s="233" t="str">
        <f t="shared" si="1"/>
        <v xml:space="preserve"> </v>
      </c>
      <c r="AC19" s="233"/>
      <c r="AD19" s="233" t="str">
        <f t="shared" si="2"/>
        <v xml:space="preserve"> </v>
      </c>
      <c r="AE19" s="233"/>
      <c r="AF19" s="233" t="str">
        <f t="shared" si="3"/>
        <v xml:space="preserve"> </v>
      </c>
      <c r="AG19" s="234"/>
      <c r="AH19" s="55" t="str">
        <f t="shared" si="4"/>
        <v/>
      </c>
    </row>
    <row r="20" spans="1:213" ht="20.75" customHeight="1">
      <c r="A20" s="130">
        <v>15</v>
      </c>
      <c r="B20" s="133" t="str">
        <f>IF(NOT(ISBLANK(Organisateur!B20)),Organisateur!B20," ")</f>
        <v xml:space="preserve"> </v>
      </c>
      <c r="C20" s="269" t="str">
        <f>IF(NOT(ISBLANK(Organisateur!C20)),Organisateur!C20," ")</f>
        <v xml:space="preserve"> </v>
      </c>
      <c r="D20" s="269"/>
      <c r="E20" s="127" t="str">
        <f>IF(NOT(ISBLANK(Organisateur!E20)),Organisateur!E20," ")</f>
        <v xml:space="preserve"> </v>
      </c>
      <c r="F20" s="115" t="str">
        <f>IF(NOT(ISBLANK(Organisateur!F20)),Organisateur!F20," ")</f>
        <v xml:space="preserve"> </v>
      </c>
      <c r="G20" s="115" t="str">
        <f>IF(NOT(ISBLANK(Organisateur!G20)),Organisateur!G20," ")</f>
        <v xml:space="preserve"> </v>
      </c>
      <c r="H20" s="115" t="str">
        <f>IF(NOT(ISBLANK(Organisateur!H20)),Organisateur!H20," ")</f>
        <v xml:space="preserve"> </v>
      </c>
      <c r="I20" s="115" t="str">
        <f>IF(NOT(ISBLANK(Organisateur!I20)),Organisateur!I20," ")</f>
        <v xml:space="preserve"> </v>
      </c>
      <c r="J20" s="115" t="str">
        <f>IF(NOT(ISBLANK(Organisateur!J20)),Organisateur!J20," ")</f>
        <v xml:space="preserve"> </v>
      </c>
      <c r="K20" s="45"/>
      <c r="L20" s="46" t="str">
        <f>IF($E20=" "," ",IF($E20=$D$31,VLOOKUP($C20,'Valeurs Règlement Campagne'!$A$4:$AB$7,14,FALSE),VLOOKUP($C20,'Valeurs Règlement Campagne'!$A$4:$M$7,4,FALSE)))</f>
        <v xml:space="preserve"> </v>
      </c>
      <c r="M20" s="47" t="str">
        <f>IF($E20=" "," ",IF($E20=$D$31,VLOOKUP($C20,'Valeurs Règlement Campagne'!$A$4:$AB$7,16,FALSE),VLOOKUP($C20,'Valeurs Règlement Campagne'!$A$4:$AB$7,5,FALSE)))</f>
        <v xml:space="preserve"> </v>
      </c>
      <c r="N20" s="46" t="str">
        <f>IF($E20=" "," ",IF($E20=$D$31,VLOOKUP($C20,'Valeurs Règlement Campagne'!$A$4:$AB$7,17,FALSE),VLOOKUP($C20,'Valeurs Règlement Campagne'!$A$4:$AB$7,6,FALSE)))</f>
        <v xml:space="preserve"> </v>
      </c>
      <c r="O20" s="48" t="str">
        <f>IF($E20=" "," ",IF($E20=$D$31,VLOOKUP($C20,'Valeurs Règlement Campagne'!$A$4:$AB$7,19,FALSE),VLOOKUP($C20,'Valeurs Règlement Campagne'!$A$4:$AB$7,7,FALSE)))</f>
        <v xml:space="preserve"> </v>
      </c>
      <c r="P20" s="49" t="str">
        <f>IF($E20=" "," ",IF($E20=$D$31,VLOOKUP($C20,'Valeurs Règlement Campagne'!$A$4:$AB$7,20,FALSE),VLOOKUP($C20,'Valeurs Règlement Campagne'!$A$4:$AB$7,8,FALSE)))</f>
        <v xml:space="preserve"> </v>
      </c>
      <c r="Q20" s="48" t="str">
        <f>IF($E20=" "," ",IF($E20=$D$31,VLOOKUP($C20,'Valeurs Règlement Campagne'!$A$4:$AB$7,22,FALSE),VLOOKUP($C20,'Valeurs Règlement Campagne'!$A$4:$AB$7,9,FALSE)))</f>
        <v xml:space="preserve"> </v>
      </c>
      <c r="R20" s="52" t="str">
        <f>IF($E20=" "," ",IF($E20=$D$31,VLOOKUP($C20,'Valeurs Règlement Campagne'!$A$4:$AB$7,25,FALSE),VLOOKUP($C20,'Valeurs Règlement Campagne'!$A$4:$AB$7,11,FALSE)))</f>
        <v xml:space="preserve"> </v>
      </c>
      <c r="S20" s="46" t="str">
        <f>IF($E20=" "," ",IF($E20=$D$31,VLOOKUP($C20,'Valeurs Règlement Campagne'!$A$4:$AB$7,26,FALSE),VLOOKUP($C20,'Valeurs Règlement Campagne'!$A$4:$AB$7,12,FALSE)))</f>
        <v xml:space="preserve"> </v>
      </c>
      <c r="T20" s="47" t="str">
        <f>IF($E20=" "," ",IF($E20=$D$31,VLOOKUP($C20,'Valeurs Règlement Campagne'!$A$4:$AB$7,28,FALSE),VLOOKUP($C20,'Valeurs Règlement Campagne'!$A$4:$AB$7,13,FALSE)))</f>
        <v xml:space="preserve"> </v>
      </c>
      <c r="U20" s="53" t="str" cm="1">
        <f t="array" ref="U20">IF(C20=" "," ",IF(AND(E20="Connues",AH20&lt;&gt;"",COUNTIFS(AH$6:AH$29,AH20,C$6:C$29,C20)&gt;1),"Doublon",IF(AND(E20="Connues",SUMPRODUCT((E$6:E$29="Connues")*(C$6:C$29=C20)*(ROW($6:$29)&lt;&gt;ROW())*(IFERROR(ABS(F$6:F$29-F20)&lt;=2,FALSE))*((IFERROR(ABS(F$6:F$29-VLOOKUP(C20,'Valeurs Règlement Campagne'!$A$4:$AB$7,14,FALSE))&lt;=2,FALSE))+(IFERROR(ABS(F$6:F$29-VLOOKUP(C20,'Valeurs Règlement Campagne'!$A$4:$AB$7,15,FALSE))&lt;=2,FALSE))+(IFERROR(ABS(F$6:F$29-VLOOKUP(C20,'Valeurs Règlement Campagne'!$A$4:$AB$7,16,FALSE))&lt;=2,FALSE))))&gt;0),"Doublon",IF($C20=" "," ",IF(F20=" "," ",IF(E20="Inconnues",AND(F20&gt;=L20,F20&lt;=M20),IF(AND('Valeurs Règlement Campagne'!$L$14="OUI",E20="Connues"),AND(F20&gt;=L20-2,F20&lt;=M20+2),OR(F20=L20,F20=L20+5,F20=M20))))))))</f>
        <v xml:space="preserve"> </v>
      </c>
      <c r="V20" s="54" t="str" cm="1">
        <f t="array" ref="V20">IF(C20=" "," ",IF(AND(E20="Connues",AH20&lt;&gt;"",COUNTIFS(AH$6:AH$29,AH20,C$6:C$29,C20)&gt;1),"Doublon",IF(AND(E20="Connues",SUMPRODUCT((E$6:E$29="Connues")*(C$6:C$29=C20)*(ROW($6:$29)&lt;&gt;ROW())*(IFERROR(ABS(G$6:G$29-G20)&lt;=2,FALSE))*((IFERROR(ABS(G$6:G$29-VLOOKUP(C20,'Valeurs Règlement Campagne'!$A$4:$AB$7,17,FALSE))&lt;=2,FALSE))+(IFERROR(ABS(G$6:G$29-VLOOKUP(C20,'Valeurs Règlement Campagne'!$A$4:$AB$7,18,FALSE))&lt;=2,FALSE))+(IFERROR(ABS(G$6:G$29-VLOOKUP(C20,'Valeurs Règlement Campagne'!$A$4:$AB$7,19,FALSE))&lt;=2,FALSE))))&gt;0),"Doublon",IF($C20=" "," ",IF(G20=" "," ",IF(E20="Inconnues",AND(G20&gt;=N20,G20&lt;=O20),IF(AND('Valeurs Règlement Campagne'!$L$14="OUI",E20="Connues"),AND(G20&gt;=N20-2,G20&lt;=O20+2),OR(G20=N20,G20=N20+5,G20=O20))))))))</f>
        <v xml:space="preserve"> </v>
      </c>
      <c r="W20" s="54" t="str" cm="1">
        <f t="array" ref="W20">IF(C20=" "," ",IF(AND(E20="Connues",AE20&lt;&gt;"",COUNTIFS(AE$6:AE$29,AE20,C$6:C$29,C20)&gt;1),"Doublon",IF(AND(E20="Connues",SUMPRODUCT((E$6:E$29="Connues")*(C$6:C$29=C20)*(ROW($6:$29)&lt;&gt;ROW())*(IFERROR(ABS(H$6:H$29-H20)&lt;=2,FALSE))*((IFERROR(ABS(H$6:H$29-VLOOKUP(C20,'Valeurs Règlement Campagne'!$A$4:$AB$7,20,FALSE))&lt;=2,FALSE))+(IFERROR(ABS(H$6:H$29-VLOOKUP(C20,'Valeurs Règlement Campagne'!$A$4:$AB$7,21,FALSE))&lt;=2,FALSE))+(IFERROR(ABS(H$6:H$29-VLOOKUP(C20,'Valeurs Règlement Campagne'!$A$4:$AB$7,22,FALSE))&lt;=2,FALSE))))&gt;0),"Doublon",IF($C20=" "," ",IF(H20=" "," ",IF(E20="Inconnues",AND(H20&gt;=P20,H20&lt;=Q20),IF(AND('Valeurs Règlement Campagne'!$L$14="OUI",E20="Connues"),AND(H20&gt;=P20-2,H20&lt;=Q20+2),OR(H20=P20,H20=P20+5,H20=P20))))))))</f>
        <v xml:space="preserve"> </v>
      </c>
      <c r="X20" s="54" t="str" cm="1">
        <f t="array" ref="X20">IF(C20=" "," ",IF(AND(E20="Connues",AH20&lt;&gt;"",COUNTIFS(AH$6:AH$29,AH20,C$6:C$29,C20)&gt;1),"Doublon",IF(AND(E20="Connues",SUMPRODUCT((E$6:E$29="Connues")*(C$6:C$29=C20)*(ROW($6:$29)&lt;&gt;ROW())*(IFERROR(ABS(I$6:I$29-I20)&lt;=2,FALSE))*((IFERROR(ABS(I$6:I$29-VLOOKUP(C20,'Valeurs Règlement Campagne'!$A$4:$AB$7,23,FALSE))&lt;=2,FALSE))+(IFERROR(ABS(I$6:I$29-VLOOKUP(C20,'Valeurs Règlement Campagne'!$A$4:$AB$7,24,FALSE))&lt;=2,FALSE))+(IFERROR(ABS(I$6:I$29-VLOOKUP(C20,'Valeurs Règlement Campagne'!$A$4:$AB$7,25,FALSE))&lt;=2,FALSE))))&gt;0),"Doublon",IF($C20=" "," ",IF(I20=" "," ",IF(E20="Inconnues",AND(I20&gt;=P20,I20&lt;=R20),IF(AND('Valeurs Règlement Campagne'!$L$14="OUI",E20="Connues"),AND(I20&gt;=P20-2,I20&lt;=R20+2),OR(I20=P20,I20=P20+5,I20=P20))))))))</f>
        <v xml:space="preserve"> </v>
      </c>
      <c r="Y20" s="322" t="str" cm="1">
        <f t="array" ref="Y20">IF(C20=" "," ",IF(AND(E20="Connues",AH20&lt;&gt;"",COUNTIFS(AH$6:AH$29,AH20,C$6:C$29,C20)&gt;1),"Doublon",IF(AND(E20="Connues",SUMPRODUCT((E$6:E$29="Connues")*(C$6:C$29=C20)*(ROW($6:$29)&lt;&gt;ROW())*(IFERROR(ABS(J$6:J$29-J20)&lt;=2,FALSE))*((IFERROR(ABS(J$6:J$29-VLOOKUP(C20,'Valeurs Règlement Campagne'!$A$4:$AB$7,26,FALSE))&lt;=2,FALSE))+(IFERROR(ABS(J$6:J$29-VLOOKUP(C20,'Valeurs Règlement Campagne'!$A$4:$AB$7,27,FALSE))&lt;=2,FALSE))+(IFERROR(ABS(J$6:J$29-VLOOKUP(C20,'Valeurs Règlement Campagne'!$A$4:$AB$7,28,FALSE))&lt;=2,FALSE))))&gt;0),"Doublon",IF($C20=" "," ",IF(J20=" "," ",IF(E20="Inconnues",AND(J20&gt;=S20,J20&lt;=T20),IF(AND('Valeurs Règlement Campagne'!$L$14="OUI",E20="Connues"),AND(J20&gt;=S20-2,J20&lt;=T20+2),OR(J20=S20,J20=S20+5,J20=S20))))))))</f>
        <v xml:space="preserve"> </v>
      </c>
      <c r="Z20" s="320" t="str">
        <f t="shared" si="0"/>
        <v xml:space="preserve"> </v>
      </c>
      <c r="AA20" s="233"/>
      <c r="AB20" s="233" t="str">
        <f t="shared" si="1"/>
        <v xml:space="preserve"> </v>
      </c>
      <c r="AC20" s="233"/>
      <c r="AD20" s="233" t="str">
        <f t="shared" si="2"/>
        <v xml:space="preserve"> </v>
      </c>
      <c r="AE20" s="233"/>
      <c r="AF20" s="233" t="str">
        <f t="shared" si="3"/>
        <v xml:space="preserve"> </v>
      </c>
      <c r="AG20" s="234"/>
      <c r="AH20" s="55" t="str">
        <f t="shared" si="4"/>
        <v/>
      </c>
    </row>
    <row r="21" spans="1:213" ht="20.75" customHeight="1">
      <c r="A21" s="130">
        <v>16</v>
      </c>
      <c r="B21" s="133" t="str">
        <f>IF(NOT(ISBLANK(Organisateur!B21)),Organisateur!B21," ")</f>
        <v xml:space="preserve"> </v>
      </c>
      <c r="C21" s="269" t="str">
        <f>IF(NOT(ISBLANK(Organisateur!C21)),Organisateur!C21," ")</f>
        <v xml:space="preserve"> </v>
      </c>
      <c r="D21" s="269"/>
      <c r="E21" s="127" t="str">
        <f>IF(NOT(ISBLANK(Organisateur!E21)),Organisateur!E21," ")</f>
        <v xml:space="preserve"> </v>
      </c>
      <c r="F21" s="115" t="str">
        <f>IF(NOT(ISBLANK(Organisateur!F21)),Organisateur!F21," ")</f>
        <v xml:space="preserve"> </v>
      </c>
      <c r="G21" s="115" t="str">
        <f>IF(NOT(ISBLANK(Organisateur!G21)),Organisateur!G21," ")</f>
        <v xml:space="preserve"> </v>
      </c>
      <c r="H21" s="115" t="str">
        <f>IF(NOT(ISBLANK(Organisateur!H21)),Organisateur!H21," ")</f>
        <v xml:space="preserve"> </v>
      </c>
      <c r="I21" s="115" t="str">
        <f>IF(NOT(ISBLANK(Organisateur!I21)),Organisateur!I21," ")</f>
        <v xml:space="preserve"> </v>
      </c>
      <c r="J21" s="115" t="str">
        <f>IF(NOT(ISBLANK(Organisateur!J21)),Organisateur!J21," ")</f>
        <v xml:space="preserve"> </v>
      </c>
      <c r="K21" s="45"/>
      <c r="L21" s="46" t="str">
        <f>IF($E21=" "," ",IF($E21=$D$31,VLOOKUP($C21,'Valeurs Règlement Campagne'!$A$4:$AB$7,14,FALSE),VLOOKUP($C21,'Valeurs Règlement Campagne'!$A$4:$M$7,4,FALSE)))</f>
        <v xml:space="preserve"> </v>
      </c>
      <c r="M21" s="47" t="str">
        <f>IF($E21=" "," ",IF($E21=$D$31,VLOOKUP($C21,'Valeurs Règlement Campagne'!$A$4:$AB$7,16,FALSE),VLOOKUP($C21,'Valeurs Règlement Campagne'!$A$4:$AB$7,5,FALSE)))</f>
        <v xml:space="preserve"> </v>
      </c>
      <c r="N21" s="46" t="str">
        <f>IF($E21=" "," ",IF($E21=$D$31,VLOOKUP($C21,'Valeurs Règlement Campagne'!$A$4:$AB$7,17,FALSE),VLOOKUP($C21,'Valeurs Règlement Campagne'!$A$4:$AB$7,6,FALSE)))</f>
        <v xml:space="preserve"> </v>
      </c>
      <c r="O21" s="48" t="str">
        <f>IF($E21=" "," ",IF($E21=$D$31,VLOOKUP($C21,'Valeurs Règlement Campagne'!$A$4:$AB$7,19,FALSE),VLOOKUP($C21,'Valeurs Règlement Campagne'!$A$4:$AB$7,7,FALSE)))</f>
        <v xml:space="preserve"> </v>
      </c>
      <c r="P21" s="49" t="str">
        <f>IF($E21=" "," ",IF($E21=$D$31,VLOOKUP($C21,'Valeurs Règlement Campagne'!$A$4:$AB$7,20,FALSE),VLOOKUP($C21,'Valeurs Règlement Campagne'!$A$4:$AB$7,8,FALSE)))</f>
        <v xml:space="preserve"> </v>
      </c>
      <c r="Q21" s="48" t="str">
        <f>IF($E21=" "," ",IF($E21=$D$31,VLOOKUP($C21,'Valeurs Règlement Campagne'!$A$4:$AB$7,22,FALSE),VLOOKUP($C21,'Valeurs Règlement Campagne'!$A$4:$AB$7,9,FALSE)))</f>
        <v xml:space="preserve"> </v>
      </c>
      <c r="R21" s="52" t="str">
        <f>IF($E21=" "," ",IF($E21=$D$31,VLOOKUP($C21,'Valeurs Règlement Campagne'!$A$4:$AB$7,25,FALSE),VLOOKUP($C21,'Valeurs Règlement Campagne'!$A$4:$AB$7,11,FALSE)))</f>
        <v xml:space="preserve"> </v>
      </c>
      <c r="S21" s="46" t="str">
        <f>IF($E21=" "," ",IF($E21=$D$31,VLOOKUP($C21,'Valeurs Règlement Campagne'!$A$4:$AB$7,26,FALSE),VLOOKUP($C21,'Valeurs Règlement Campagne'!$A$4:$AB$7,12,FALSE)))</f>
        <v xml:space="preserve"> </v>
      </c>
      <c r="T21" s="47" t="str">
        <f>IF($E21=" "," ",IF($E21=$D$31,VLOOKUP($C21,'Valeurs Règlement Campagne'!$A$4:$AB$7,28,FALSE),VLOOKUP($C21,'Valeurs Règlement Campagne'!$A$4:$AB$7,13,FALSE)))</f>
        <v xml:space="preserve"> </v>
      </c>
      <c r="U21" s="53" t="str" cm="1">
        <f t="array" ref="U21">IF(C21=" "," ",IF(AND(E21="Connues",AH21&lt;&gt;"",COUNTIFS(AH$6:AH$29,AH21,C$6:C$29,C21)&gt;1),"Doublon",IF(AND(E21="Connues",SUMPRODUCT((E$6:E$29="Connues")*(C$6:C$29=C21)*(ROW($6:$29)&lt;&gt;ROW())*(IFERROR(ABS(F$6:F$29-F21)&lt;=2,FALSE))*((IFERROR(ABS(F$6:F$29-VLOOKUP(C21,'Valeurs Règlement Campagne'!$A$4:$AB$7,14,FALSE))&lt;=2,FALSE))+(IFERROR(ABS(F$6:F$29-VLOOKUP(C21,'Valeurs Règlement Campagne'!$A$4:$AB$7,15,FALSE))&lt;=2,FALSE))+(IFERROR(ABS(F$6:F$29-VLOOKUP(C21,'Valeurs Règlement Campagne'!$A$4:$AB$7,16,FALSE))&lt;=2,FALSE))))&gt;0),"Doublon",IF($C21=" "," ",IF(F21=" "," ",IF(E21="Inconnues",AND(F21&gt;=L21,F21&lt;=M21),IF(AND('Valeurs Règlement Campagne'!$L$14="OUI",E21="Connues"),AND(F21&gt;=L21-2,F21&lt;=M21+2),OR(F21=L21,F21=L21+5,F21=M21))))))))</f>
        <v xml:space="preserve"> </v>
      </c>
      <c r="V21" s="54" t="str" cm="1">
        <f t="array" ref="V21">IF(C21=" "," ",IF(AND(E21="Connues",AH21&lt;&gt;"",COUNTIFS(AH$6:AH$29,AH21,C$6:C$29,C21)&gt;1),"Doublon",IF(AND(E21="Connues",SUMPRODUCT((E$6:E$29="Connues")*(C$6:C$29=C21)*(ROW($6:$29)&lt;&gt;ROW())*(IFERROR(ABS(G$6:G$29-G21)&lt;=2,FALSE))*((IFERROR(ABS(G$6:G$29-VLOOKUP(C21,'Valeurs Règlement Campagne'!$A$4:$AB$7,17,FALSE))&lt;=2,FALSE))+(IFERROR(ABS(G$6:G$29-VLOOKUP(C21,'Valeurs Règlement Campagne'!$A$4:$AB$7,18,FALSE))&lt;=2,FALSE))+(IFERROR(ABS(G$6:G$29-VLOOKUP(C21,'Valeurs Règlement Campagne'!$A$4:$AB$7,19,FALSE))&lt;=2,FALSE))))&gt;0),"Doublon",IF($C21=" "," ",IF(G21=" "," ",IF(E21="Inconnues",AND(G21&gt;=N21,G21&lt;=O21),IF(AND('Valeurs Règlement Campagne'!$L$14="OUI",E21="Connues"),AND(G21&gt;=N21-2,G21&lt;=O21+2),OR(G21=N21,G21=N21+5,G21=O21))))))))</f>
        <v xml:space="preserve"> </v>
      </c>
      <c r="W21" s="54" t="str" cm="1">
        <f t="array" ref="W21">IF(C21=" "," ",IF(AND(E21="Connues",AE21&lt;&gt;"",COUNTIFS(AE$6:AE$29,AE21,C$6:C$29,C21)&gt;1),"Doublon",IF(AND(E21="Connues",SUMPRODUCT((E$6:E$29="Connues")*(C$6:C$29=C21)*(ROW($6:$29)&lt;&gt;ROW())*(IFERROR(ABS(H$6:H$29-H21)&lt;=2,FALSE))*((IFERROR(ABS(H$6:H$29-VLOOKUP(C21,'Valeurs Règlement Campagne'!$A$4:$AB$7,20,FALSE))&lt;=2,FALSE))+(IFERROR(ABS(H$6:H$29-VLOOKUP(C21,'Valeurs Règlement Campagne'!$A$4:$AB$7,21,FALSE))&lt;=2,FALSE))+(IFERROR(ABS(H$6:H$29-VLOOKUP(C21,'Valeurs Règlement Campagne'!$A$4:$AB$7,22,FALSE))&lt;=2,FALSE))))&gt;0),"Doublon",IF($C21=" "," ",IF(H21=" "," ",IF(E21="Inconnues",AND(H21&gt;=P21,H21&lt;=Q21),IF(AND('Valeurs Règlement Campagne'!$L$14="OUI",E21="Connues"),AND(H21&gt;=P21-2,H21&lt;=Q21+2),OR(H21=P21,H21=P21+5,H21=P21))))))))</f>
        <v xml:space="preserve"> </v>
      </c>
      <c r="X21" s="54" t="str" cm="1">
        <f t="array" ref="X21">IF(C21=" "," ",IF(AND(E21="Connues",AH21&lt;&gt;"",COUNTIFS(AH$6:AH$29,AH21,C$6:C$29,C21)&gt;1),"Doublon",IF(AND(E21="Connues",SUMPRODUCT((E$6:E$29="Connues")*(C$6:C$29=C21)*(ROW($6:$29)&lt;&gt;ROW())*(IFERROR(ABS(I$6:I$29-I21)&lt;=2,FALSE))*((IFERROR(ABS(I$6:I$29-VLOOKUP(C21,'Valeurs Règlement Campagne'!$A$4:$AB$7,23,FALSE))&lt;=2,FALSE))+(IFERROR(ABS(I$6:I$29-VLOOKUP(C21,'Valeurs Règlement Campagne'!$A$4:$AB$7,24,FALSE))&lt;=2,FALSE))+(IFERROR(ABS(I$6:I$29-VLOOKUP(C21,'Valeurs Règlement Campagne'!$A$4:$AB$7,25,FALSE))&lt;=2,FALSE))))&gt;0),"Doublon",IF($C21=" "," ",IF(I21=" "," ",IF(E21="Inconnues",AND(I21&gt;=P21,I21&lt;=R21),IF(AND('Valeurs Règlement Campagne'!$L$14="OUI",E21="Connues"),AND(I21&gt;=P21-2,I21&lt;=R21+2),OR(I21=P21,I21=P21+5,I21=P21))))))))</f>
        <v xml:space="preserve"> </v>
      </c>
      <c r="Y21" s="322" t="str" cm="1">
        <f t="array" ref="Y21">IF(C21=" "," ",IF(AND(E21="Connues",AH21&lt;&gt;"",COUNTIFS(AH$6:AH$29,AH21,C$6:C$29,C21)&gt;1),"Doublon",IF(AND(E21="Connues",SUMPRODUCT((E$6:E$29="Connues")*(C$6:C$29=C21)*(ROW($6:$29)&lt;&gt;ROW())*(IFERROR(ABS(J$6:J$29-J21)&lt;=2,FALSE))*((IFERROR(ABS(J$6:J$29-VLOOKUP(C21,'Valeurs Règlement Campagne'!$A$4:$AB$7,26,FALSE))&lt;=2,FALSE))+(IFERROR(ABS(J$6:J$29-VLOOKUP(C21,'Valeurs Règlement Campagne'!$A$4:$AB$7,27,FALSE))&lt;=2,FALSE))+(IFERROR(ABS(J$6:J$29-VLOOKUP(C21,'Valeurs Règlement Campagne'!$A$4:$AB$7,28,FALSE))&lt;=2,FALSE))))&gt;0),"Doublon",IF($C21=" "," ",IF(J21=" "," ",IF(E21="Inconnues",AND(J21&gt;=S21,J21&lt;=T21),IF(AND('Valeurs Règlement Campagne'!$L$14="OUI",E21="Connues"),AND(J21&gt;=S21-2,J21&lt;=T21+2),OR(J21=S21,J21=S21+5,J21=S21))))))))</f>
        <v xml:space="preserve"> </v>
      </c>
      <c r="Z21" s="320" t="str">
        <f t="shared" si="0"/>
        <v xml:space="preserve"> </v>
      </c>
      <c r="AA21" s="233"/>
      <c r="AB21" s="233" t="str">
        <f t="shared" si="1"/>
        <v xml:space="preserve"> </v>
      </c>
      <c r="AC21" s="233"/>
      <c r="AD21" s="233" t="str">
        <f t="shared" si="2"/>
        <v xml:space="preserve"> </v>
      </c>
      <c r="AE21" s="233"/>
      <c r="AF21" s="233" t="str">
        <f t="shared" si="3"/>
        <v xml:space="preserve"> </v>
      </c>
      <c r="AG21" s="234"/>
      <c r="AH21" s="55" t="str">
        <f t="shared" si="4"/>
        <v/>
      </c>
    </row>
    <row r="22" spans="1:213" ht="20.75" customHeight="1">
      <c r="A22" s="130">
        <v>17</v>
      </c>
      <c r="B22" s="133" t="str">
        <f>IF(NOT(ISBLANK(Organisateur!B22)),Organisateur!B22," ")</f>
        <v xml:space="preserve"> </v>
      </c>
      <c r="C22" s="269" t="str">
        <f>IF(NOT(ISBLANK(Organisateur!C22)),Organisateur!C22," ")</f>
        <v xml:space="preserve"> </v>
      </c>
      <c r="D22" s="269"/>
      <c r="E22" s="127" t="str">
        <f>IF(NOT(ISBLANK(Organisateur!E22)),Organisateur!E22," ")</f>
        <v xml:space="preserve"> </v>
      </c>
      <c r="F22" s="115" t="str">
        <f>IF(NOT(ISBLANK(Organisateur!F22)),Organisateur!F22," ")</f>
        <v xml:space="preserve"> </v>
      </c>
      <c r="G22" s="115" t="str">
        <f>IF(NOT(ISBLANK(Organisateur!G22)),Organisateur!G22," ")</f>
        <v xml:space="preserve"> </v>
      </c>
      <c r="H22" s="115" t="str">
        <f>IF(NOT(ISBLANK(Organisateur!H22)),Organisateur!H22," ")</f>
        <v xml:space="preserve"> </v>
      </c>
      <c r="I22" s="115" t="str">
        <f>IF(NOT(ISBLANK(Organisateur!I22)),Organisateur!I22," ")</f>
        <v xml:space="preserve"> </v>
      </c>
      <c r="J22" s="115" t="str">
        <f>IF(NOT(ISBLANK(Organisateur!J22)),Organisateur!J22," ")</f>
        <v xml:space="preserve"> </v>
      </c>
      <c r="K22" s="45"/>
      <c r="L22" s="46" t="str">
        <f>IF($E22=" "," ",IF($E22=$D$31,VLOOKUP($C22,'Valeurs Règlement Campagne'!$A$4:$AB$7,14,FALSE),VLOOKUP($C22,'Valeurs Règlement Campagne'!$A$4:$M$7,4,FALSE)))</f>
        <v xml:space="preserve"> </v>
      </c>
      <c r="M22" s="47" t="str">
        <f>IF($E22=" "," ",IF($E22=$D$31,VLOOKUP($C22,'Valeurs Règlement Campagne'!$A$4:$AB$7,16,FALSE),VLOOKUP($C22,'Valeurs Règlement Campagne'!$A$4:$AB$7,5,FALSE)))</f>
        <v xml:space="preserve"> </v>
      </c>
      <c r="N22" s="46" t="str">
        <f>IF($E22=" "," ",IF($E22=$D$31,VLOOKUP($C22,'Valeurs Règlement Campagne'!$A$4:$AB$7,17,FALSE),VLOOKUP($C22,'Valeurs Règlement Campagne'!$A$4:$AB$7,6,FALSE)))</f>
        <v xml:space="preserve"> </v>
      </c>
      <c r="O22" s="48" t="str">
        <f>IF($E22=" "," ",IF($E22=$D$31,VLOOKUP($C22,'Valeurs Règlement Campagne'!$A$4:$AB$7,19,FALSE),VLOOKUP($C22,'Valeurs Règlement Campagne'!$A$4:$AB$7,7,FALSE)))</f>
        <v xml:space="preserve"> </v>
      </c>
      <c r="P22" s="49" t="str">
        <f>IF($E22=" "," ",IF($E22=$D$31,VLOOKUP($C22,'Valeurs Règlement Campagne'!$A$4:$AB$7,20,FALSE),VLOOKUP($C22,'Valeurs Règlement Campagne'!$A$4:$AB$7,8,FALSE)))</f>
        <v xml:space="preserve"> </v>
      </c>
      <c r="Q22" s="48" t="str">
        <f>IF($E22=" "," ",IF($E22=$D$31,VLOOKUP($C22,'Valeurs Règlement Campagne'!$A$4:$AB$7,22,FALSE),VLOOKUP($C22,'Valeurs Règlement Campagne'!$A$4:$AB$7,9,FALSE)))</f>
        <v xml:space="preserve"> </v>
      </c>
      <c r="R22" s="52" t="str">
        <f>IF($E22=" "," ",IF($E22=$D$31,VLOOKUP($C22,'Valeurs Règlement Campagne'!$A$4:$AB$7,25,FALSE),VLOOKUP($C22,'Valeurs Règlement Campagne'!$A$4:$AB$7,11,FALSE)))</f>
        <v xml:space="preserve"> </v>
      </c>
      <c r="S22" s="46" t="str">
        <f>IF($E22=" "," ",IF($E22=$D$31,VLOOKUP($C22,'Valeurs Règlement Campagne'!$A$4:$AB$7,26,FALSE),VLOOKUP($C22,'Valeurs Règlement Campagne'!$A$4:$AB$7,12,FALSE)))</f>
        <v xml:space="preserve"> </v>
      </c>
      <c r="T22" s="47" t="str">
        <f>IF($E22=" "," ",IF($E22=$D$31,VLOOKUP($C22,'Valeurs Règlement Campagne'!$A$4:$AB$7,28,FALSE),VLOOKUP($C22,'Valeurs Règlement Campagne'!$A$4:$AB$7,13,FALSE)))</f>
        <v xml:space="preserve"> </v>
      </c>
      <c r="U22" s="53" t="str" cm="1">
        <f t="array" ref="U22">IF(C22=" "," ",IF(AND(E22="Connues",AH22&lt;&gt;"",COUNTIFS(AH$6:AH$29,AH22,C$6:C$29,C22)&gt;1),"Doublon",IF(AND(E22="Connues",SUMPRODUCT((E$6:E$29="Connues")*(C$6:C$29=C22)*(ROW($6:$29)&lt;&gt;ROW())*(IFERROR(ABS(F$6:F$29-F22)&lt;=2,FALSE))*((IFERROR(ABS(F$6:F$29-VLOOKUP(C22,'Valeurs Règlement Campagne'!$A$4:$AB$7,14,FALSE))&lt;=2,FALSE))+(IFERROR(ABS(F$6:F$29-VLOOKUP(C22,'Valeurs Règlement Campagne'!$A$4:$AB$7,15,FALSE))&lt;=2,FALSE))+(IFERROR(ABS(F$6:F$29-VLOOKUP(C22,'Valeurs Règlement Campagne'!$A$4:$AB$7,16,FALSE))&lt;=2,FALSE))))&gt;0),"Doublon",IF($C22=" "," ",IF(F22=" "," ",IF(E22="Inconnues",AND(F22&gt;=L22,F22&lt;=M22),IF(AND('Valeurs Règlement Campagne'!$L$14="OUI",E22="Connues"),AND(F22&gt;=L22-2,F22&lt;=M22+2),OR(F22=L22,F22=L22+5,F22=M22))))))))</f>
        <v xml:space="preserve"> </v>
      </c>
      <c r="V22" s="54" t="str" cm="1">
        <f t="array" ref="V22">IF(C22=" "," ",IF(AND(E22="Connues",AH22&lt;&gt;"",COUNTIFS(AH$6:AH$29,AH22,C$6:C$29,C22)&gt;1),"Doublon",IF(AND(E22="Connues",SUMPRODUCT((E$6:E$29="Connues")*(C$6:C$29=C22)*(ROW($6:$29)&lt;&gt;ROW())*(IFERROR(ABS(G$6:G$29-G22)&lt;=2,FALSE))*((IFERROR(ABS(G$6:G$29-VLOOKUP(C22,'Valeurs Règlement Campagne'!$A$4:$AB$7,17,FALSE))&lt;=2,FALSE))+(IFERROR(ABS(G$6:G$29-VLOOKUP(C22,'Valeurs Règlement Campagne'!$A$4:$AB$7,18,FALSE))&lt;=2,FALSE))+(IFERROR(ABS(G$6:G$29-VLOOKUP(C22,'Valeurs Règlement Campagne'!$A$4:$AB$7,19,FALSE))&lt;=2,FALSE))))&gt;0),"Doublon",IF($C22=" "," ",IF(G22=" "," ",IF(E22="Inconnues",AND(G22&gt;=N22,G22&lt;=O22),IF(AND('Valeurs Règlement Campagne'!$L$14="OUI",E22="Connues"),AND(G22&gt;=N22-2,G22&lt;=O22+2),OR(G22=N22,G22=N22+5,G22=O22))))))))</f>
        <v xml:space="preserve"> </v>
      </c>
      <c r="W22" s="54" t="str" cm="1">
        <f t="array" ref="W22">IF(C22=" "," ",IF(AND(E22="Connues",AE22&lt;&gt;"",COUNTIFS(AE$6:AE$29,AE22,C$6:C$29,C22)&gt;1),"Doublon",IF(AND(E22="Connues",SUMPRODUCT((E$6:E$29="Connues")*(C$6:C$29=C22)*(ROW($6:$29)&lt;&gt;ROW())*(IFERROR(ABS(H$6:H$29-H22)&lt;=2,FALSE))*((IFERROR(ABS(H$6:H$29-VLOOKUP(C22,'Valeurs Règlement Campagne'!$A$4:$AB$7,20,FALSE))&lt;=2,FALSE))+(IFERROR(ABS(H$6:H$29-VLOOKUP(C22,'Valeurs Règlement Campagne'!$A$4:$AB$7,21,FALSE))&lt;=2,FALSE))+(IFERROR(ABS(H$6:H$29-VLOOKUP(C22,'Valeurs Règlement Campagne'!$A$4:$AB$7,22,FALSE))&lt;=2,FALSE))))&gt;0),"Doublon",IF($C22=" "," ",IF(H22=" "," ",IF(E22="Inconnues",AND(H22&gt;=P22,H22&lt;=Q22),IF(AND('Valeurs Règlement Campagne'!$L$14="OUI",E22="Connues"),AND(H22&gt;=P22-2,H22&lt;=Q22+2),OR(H22=P22,H22=P22+5,H22=P22))))))))</f>
        <v xml:space="preserve"> </v>
      </c>
      <c r="X22" s="54" t="str" cm="1">
        <f t="array" ref="X22">IF(C22=" "," ",IF(AND(E22="Connues",AH22&lt;&gt;"",COUNTIFS(AH$6:AH$29,AH22,C$6:C$29,C22)&gt;1),"Doublon",IF(AND(E22="Connues",SUMPRODUCT((E$6:E$29="Connues")*(C$6:C$29=C22)*(ROW($6:$29)&lt;&gt;ROW())*(IFERROR(ABS(I$6:I$29-I22)&lt;=2,FALSE))*((IFERROR(ABS(I$6:I$29-VLOOKUP(C22,'Valeurs Règlement Campagne'!$A$4:$AB$7,23,FALSE))&lt;=2,FALSE))+(IFERROR(ABS(I$6:I$29-VLOOKUP(C22,'Valeurs Règlement Campagne'!$A$4:$AB$7,24,FALSE))&lt;=2,FALSE))+(IFERROR(ABS(I$6:I$29-VLOOKUP(C22,'Valeurs Règlement Campagne'!$A$4:$AB$7,25,FALSE))&lt;=2,FALSE))))&gt;0),"Doublon",IF($C22=" "," ",IF(I22=" "," ",IF(E22="Inconnues",AND(I22&gt;=P22,I22&lt;=R22),IF(AND('Valeurs Règlement Campagne'!$L$14="OUI",E22="Connues"),AND(I22&gt;=P22-2,I22&lt;=R22+2),OR(I22=P22,I22=P22+5,I22=P22))))))))</f>
        <v xml:space="preserve"> </v>
      </c>
      <c r="Y22" s="322" t="str" cm="1">
        <f t="array" ref="Y22">IF(C22=" "," ",IF(AND(E22="Connues",AH22&lt;&gt;"",COUNTIFS(AH$6:AH$29,AH22,C$6:C$29,C22)&gt;1),"Doublon",IF(AND(E22="Connues",SUMPRODUCT((E$6:E$29="Connues")*(C$6:C$29=C22)*(ROW($6:$29)&lt;&gt;ROW())*(IFERROR(ABS(J$6:J$29-J22)&lt;=2,FALSE))*((IFERROR(ABS(J$6:J$29-VLOOKUP(C22,'Valeurs Règlement Campagne'!$A$4:$AB$7,26,FALSE))&lt;=2,FALSE))+(IFERROR(ABS(J$6:J$29-VLOOKUP(C22,'Valeurs Règlement Campagne'!$A$4:$AB$7,27,FALSE))&lt;=2,FALSE))+(IFERROR(ABS(J$6:J$29-VLOOKUP(C22,'Valeurs Règlement Campagne'!$A$4:$AB$7,28,FALSE))&lt;=2,FALSE))))&gt;0),"Doublon",IF($C22=" "," ",IF(J22=" "," ",IF(E22="Inconnues",AND(J22&gt;=S22,J22&lt;=T22),IF(AND('Valeurs Règlement Campagne'!$L$14="OUI",E22="Connues"),AND(J22&gt;=S22-2,J22&lt;=T22+2),OR(J22=S22,J22=S22+5,J22=S22))))))))</f>
        <v xml:space="preserve"> </v>
      </c>
      <c r="Z22" s="320" t="str">
        <f t="shared" si="0"/>
        <v xml:space="preserve"> </v>
      </c>
      <c r="AA22" s="233"/>
      <c r="AB22" s="233" t="str">
        <f t="shared" si="1"/>
        <v xml:space="preserve"> </v>
      </c>
      <c r="AC22" s="233"/>
      <c r="AD22" s="233" t="str">
        <f t="shared" si="2"/>
        <v xml:space="preserve"> </v>
      </c>
      <c r="AE22" s="233"/>
      <c r="AF22" s="233" t="str">
        <f t="shared" si="3"/>
        <v xml:space="preserve"> </v>
      </c>
      <c r="AG22" s="234"/>
      <c r="AH22" s="55" t="str">
        <f t="shared" si="4"/>
        <v/>
      </c>
    </row>
    <row r="23" spans="1:213" ht="20.75" customHeight="1">
      <c r="A23" s="130">
        <v>18</v>
      </c>
      <c r="B23" s="133" t="str">
        <f>IF(NOT(ISBLANK(Organisateur!B23)),Organisateur!B23," ")</f>
        <v xml:space="preserve"> </v>
      </c>
      <c r="C23" s="269" t="str">
        <f>IF(NOT(ISBLANK(Organisateur!C23)),Organisateur!C23," ")</f>
        <v xml:space="preserve"> </v>
      </c>
      <c r="D23" s="269"/>
      <c r="E23" s="127" t="str">
        <f>IF(NOT(ISBLANK(Organisateur!E23)),Organisateur!E23," ")</f>
        <v xml:space="preserve"> </v>
      </c>
      <c r="F23" s="115" t="str">
        <f>IF(NOT(ISBLANK(Organisateur!F23)),Organisateur!F23," ")</f>
        <v xml:space="preserve"> </v>
      </c>
      <c r="G23" s="115" t="str">
        <f>IF(NOT(ISBLANK(Organisateur!G23)),Organisateur!G23," ")</f>
        <v xml:space="preserve"> </v>
      </c>
      <c r="H23" s="115" t="str">
        <f>IF(NOT(ISBLANK(Organisateur!H23)),Organisateur!H23," ")</f>
        <v xml:space="preserve"> </v>
      </c>
      <c r="I23" s="115" t="str">
        <f>IF(NOT(ISBLANK(Organisateur!I23)),Organisateur!I23," ")</f>
        <v xml:space="preserve"> </v>
      </c>
      <c r="J23" s="115" t="str">
        <f>IF(NOT(ISBLANK(Organisateur!J23)),Organisateur!J23," ")</f>
        <v xml:space="preserve"> </v>
      </c>
      <c r="K23" s="45"/>
      <c r="L23" s="46" t="str">
        <f>IF($E23=" "," ",IF($E23=$D$31,VLOOKUP($C23,'Valeurs Règlement Campagne'!$A$4:$AB$7,14,FALSE),VLOOKUP($C23,'Valeurs Règlement Campagne'!$A$4:$M$7,4,FALSE)))</f>
        <v xml:space="preserve"> </v>
      </c>
      <c r="M23" s="47" t="str">
        <f>IF($E23=" "," ",IF($E23=$D$31,VLOOKUP($C23,'Valeurs Règlement Campagne'!$A$4:$AB$7,16,FALSE),VLOOKUP($C23,'Valeurs Règlement Campagne'!$A$4:$AB$7,5,FALSE)))</f>
        <v xml:space="preserve"> </v>
      </c>
      <c r="N23" s="46" t="str">
        <f>IF($E23=" "," ",IF($E23=$D$31,VLOOKUP($C23,'Valeurs Règlement Campagne'!$A$4:$AB$7,17,FALSE),VLOOKUP($C23,'Valeurs Règlement Campagne'!$A$4:$AB$7,6,FALSE)))</f>
        <v xml:space="preserve"> </v>
      </c>
      <c r="O23" s="48" t="str">
        <f>IF($E23=" "," ",IF($E23=$D$31,VLOOKUP($C23,'Valeurs Règlement Campagne'!$A$4:$AB$7,19,FALSE),VLOOKUP($C23,'Valeurs Règlement Campagne'!$A$4:$AB$7,7,FALSE)))</f>
        <v xml:space="preserve"> </v>
      </c>
      <c r="P23" s="49" t="str">
        <f>IF($E23=" "," ",IF($E23=$D$31,VLOOKUP($C23,'Valeurs Règlement Campagne'!$A$4:$AB$7,20,FALSE),VLOOKUP($C23,'Valeurs Règlement Campagne'!$A$4:$AB$7,8,FALSE)))</f>
        <v xml:space="preserve"> </v>
      </c>
      <c r="Q23" s="48" t="str">
        <f>IF($E23=" "," ",IF($E23=$D$31,VLOOKUP($C23,'Valeurs Règlement Campagne'!$A$4:$AB$7,22,FALSE),VLOOKUP($C23,'Valeurs Règlement Campagne'!$A$4:$AB$7,9,FALSE)))</f>
        <v xml:space="preserve"> </v>
      </c>
      <c r="R23" s="52" t="str">
        <f>IF($E23=" "," ",IF($E23=$D$31,VLOOKUP($C23,'Valeurs Règlement Campagne'!$A$4:$AB$7,25,FALSE),VLOOKUP($C23,'Valeurs Règlement Campagne'!$A$4:$AB$7,11,FALSE)))</f>
        <v xml:space="preserve"> </v>
      </c>
      <c r="S23" s="46" t="str">
        <f>IF($E23=" "," ",IF($E23=$D$31,VLOOKUP($C23,'Valeurs Règlement Campagne'!$A$4:$AB$7,26,FALSE),VLOOKUP($C23,'Valeurs Règlement Campagne'!$A$4:$AB$7,12,FALSE)))</f>
        <v xml:space="preserve"> </v>
      </c>
      <c r="T23" s="47" t="str">
        <f>IF($E23=" "," ",IF($E23=$D$31,VLOOKUP($C23,'Valeurs Règlement Campagne'!$A$4:$AB$7,28,FALSE),VLOOKUP($C23,'Valeurs Règlement Campagne'!$A$4:$AB$7,13,FALSE)))</f>
        <v xml:space="preserve"> </v>
      </c>
      <c r="U23" s="53" t="str" cm="1">
        <f t="array" ref="U23">IF(C23=" "," ",IF(AND(E23="Connues",AH23&lt;&gt;"",COUNTIFS(AH$6:AH$29,AH23,C$6:C$29,C23)&gt;1),"Doublon",IF(AND(E23="Connues",SUMPRODUCT((E$6:E$29="Connues")*(C$6:C$29=C23)*(ROW($6:$29)&lt;&gt;ROW())*(IFERROR(ABS(F$6:F$29-F23)&lt;=2,FALSE))*((IFERROR(ABS(F$6:F$29-VLOOKUP(C23,'Valeurs Règlement Campagne'!$A$4:$AB$7,14,FALSE))&lt;=2,FALSE))+(IFERROR(ABS(F$6:F$29-VLOOKUP(C23,'Valeurs Règlement Campagne'!$A$4:$AB$7,15,FALSE))&lt;=2,FALSE))+(IFERROR(ABS(F$6:F$29-VLOOKUP(C23,'Valeurs Règlement Campagne'!$A$4:$AB$7,16,FALSE))&lt;=2,FALSE))))&gt;0),"Doublon",IF($C23=" "," ",IF(F23=" "," ",IF(E23="Inconnues",AND(F23&gt;=L23,F23&lt;=M23),IF(AND('Valeurs Règlement Campagne'!$L$14="OUI",E23="Connues"),AND(F23&gt;=L23-2,F23&lt;=M23+2),OR(F23=L23,F23=L23+5,F23=M23))))))))</f>
        <v xml:space="preserve"> </v>
      </c>
      <c r="V23" s="54" t="str" cm="1">
        <f t="array" ref="V23">IF(C23=" "," ",IF(AND(E23="Connues",AH23&lt;&gt;"",COUNTIFS(AH$6:AH$29,AH23,C$6:C$29,C23)&gt;1),"Doublon",IF(AND(E23="Connues",SUMPRODUCT((E$6:E$29="Connues")*(C$6:C$29=C23)*(ROW($6:$29)&lt;&gt;ROW())*(IFERROR(ABS(G$6:G$29-G23)&lt;=2,FALSE))*((IFERROR(ABS(G$6:G$29-VLOOKUP(C23,'Valeurs Règlement Campagne'!$A$4:$AB$7,17,FALSE))&lt;=2,FALSE))+(IFERROR(ABS(G$6:G$29-VLOOKUP(C23,'Valeurs Règlement Campagne'!$A$4:$AB$7,18,FALSE))&lt;=2,FALSE))+(IFERROR(ABS(G$6:G$29-VLOOKUP(C23,'Valeurs Règlement Campagne'!$A$4:$AB$7,19,FALSE))&lt;=2,FALSE))))&gt;0),"Doublon",IF($C23=" "," ",IF(G23=" "," ",IF(E23="Inconnues",AND(G23&gt;=N23,G23&lt;=O23),IF(AND('Valeurs Règlement Campagne'!$L$14="OUI",E23="Connues"),AND(G23&gt;=N23-2,G23&lt;=O23+2),OR(G23=N23,G23=N23+5,G23=O23))))))))</f>
        <v xml:space="preserve"> </v>
      </c>
      <c r="W23" s="54" t="str" cm="1">
        <f t="array" ref="W23">IF(C23=" "," ",IF(AND(E23="Connues",AE23&lt;&gt;"",COUNTIFS(AE$6:AE$29,AE23,C$6:C$29,C23)&gt;1),"Doublon",IF(AND(E23="Connues",SUMPRODUCT((E$6:E$29="Connues")*(C$6:C$29=C23)*(ROW($6:$29)&lt;&gt;ROW())*(IFERROR(ABS(H$6:H$29-H23)&lt;=2,FALSE))*((IFERROR(ABS(H$6:H$29-VLOOKUP(C23,'Valeurs Règlement Campagne'!$A$4:$AB$7,20,FALSE))&lt;=2,FALSE))+(IFERROR(ABS(H$6:H$29-VLOOKUP(C23,'Valeurs Règlement Campagne'!$A$4:$AB$7,21,FALSE))&lt;=2,FALSE))+(IFERROR(ABS(H$6:H$29-VLOOKUP(C23,'Valeurs Règlement Campagne'!$A$4:$AB$7,22,FALSE))&lt;=2,FALSE))))&gt;0),"Doublon",IF($C23=" "," ",IF(H23=" "," ",IF(E23="Inconnues",AND(H23&gt;=P23,H23&lt;=Q23),IF(AND('Valeurs Règlement Campagne'!$L$14="OUI",E23="Connues"),AND(H23&gt;=P23-2,H23&lt;=Q23+2),OR(H23=P23,H23=P23+5,H23=P23))))))))</f>
        <v xml:space="preserve"> </v>
      </c>
      <c r="X23" s="54" t="str" cm="1">
        <f t="array" ref="X23">IF(C23=" "," ",IF(AND(E23="Connues",AH23&lt;&gt;"",COUNTIFS(AH$6:AH$29,AH23,C$6:C$29,C23)&gt;1),"Doublon",IF(AND(E23="Connues",SUMPRODUCT((E$6:E$29="Connues")*(C$6:C$29=C23)*(ROW($6:$29)&lt;&gt;ROW())*(IFERROR(ABS(I$6:I$29-I23)&lt;=2,FALSE))*((IFERROR(ABS(I$6:I$29-VLOOKUP(C23,'Valeurs Règlement Campagne'!$A$4:$AB$7,23,FALSE))&lt;=2,FALSE))+(IFERROR(ABS(I$6:I$29-VLOOKUP(C23,'Valeurs Règlement Campagne'!$A$4:$AB$7,24,FALSE))&lt;=2,FALSE))+(IFERROR(ABS(I$6:I$29-VLOOKUP(C23,'Valeurs Règlement Campagne'!$A$4:$AB$7,25,FALSE))&lt;=2,FALSE))))&gt;0),"Doublon",IF($C23=" "," ",IF(I23=" "," ",IF(E23="Inconnues",AND(I23&gt;=P23,I23&lt;=R23),IF(AND('Valeurs Règlement Campagne'!$L$14="OUI",E23="Connues"),AND(I23&gt;=P23-2,I23&lt;=R23+2),OR(I23=P23,I23=P23+5,I23=P23))))))))</f>
        <v xml:space="preserve"> </v>
      </c>
      <c r="Y23" s="322" t="str" cm="1">
        <f t="array" ref="Y23">IF(C23=" "," ",IF(AND(E23="Connues",AH23&lt;&gt;"",COUNTIFS(AH$6:AH$29,AH23,C$6:C$29,C23)&gt;1),"Doublon",IF(AND(E23="Connues",SUMPRODUCT((E$6:E$29="Connues")*(C$6:C$29=C23)*(ROW($6:$29)&lt;&gt;ROW())*(IFERROR(ABS(J$6:J$29-J23)&lt;=2,FALSE))*((IFERROR(ABS(J$6:J$29-VLOOKUP(C23,'Valeurs Règlement Campagne'!$A$4:$AB$7,26,FALSE))&lt;=2,FALSE))+(IFERROR(ABS(J$6:J$29-VLOOKUP(C23,'Valeurs Règlement Campagne'!$A$4:$AB$7,27,FALSE))&lt;=2,FALSE))+(IFERROR(ABS(J$6:J$29-VLOOKUP(C23,'Valeurs Règlement Campagne'!$A$4:$AB$7,28,FALSE))&lt;=2,FALSE))))&gt;0),"Doublon",IF($C23=" "," ",IF(J23=" "," ",IF(E23="Inconnues",AND(J23&gt;=S23,J23&lt;=T23),IF(AND('Valeurs Règlement Campagne'!$L$14="OUI",E23="Connues"),AND(J23&gt;=S23-2,J23&lt;=T23+2),OR(J23=S23,J23=S23+5,J23=S23))))))))</f>
        <v xml:space="preserve"> </v>
      </c>
      <c r="Z23" s="320" t="str">
        <f t="shared" si="0"/>
        <v xml:space="preserve"> </v>
      </c>
      <c r="AA23" s="233"/>
      <c r="AB23" s="233" t="str">
        <f t="shared" si="1"/>
        <v xml:space="preserve"> </v>
      </c>
      <c r="AC23" s="233"/>
      <c r="AD23" s="233" t="str">
        <f t="shared" si="2"/>
        <v xml:space="preserve"> </v>
      </c>
      <c r="AE23" s="233"/>
      <c r="AF23" s="233" t="str">
        <f t="shared" si="3"/>
        <v xml:space="preserve"> </v>
      </c>
      <c r="AG23" s="234"/>
      <c r="AH23" s="55" t="str">
        <f t="shared" si="4"/>
        <v/>
      </c>
    </row>
    <row r="24" spans="1:213" ht="20.75" customHeight="1">
      <c r="A24" s="130">
        <v>19</v>
      </c>
      <c r="B24" s="133" t="str">
        <f>IF(NOT(ISBLANK(Organisateur!B24)),Organisateur!B24," ")</f>
        <v xml:space="preserve"> </v>
      </c>
      <c r="C24" s="269" t="str">
        <f>IF(NOT(ISBLANK(Organisateur!C24)),Organisateur!C24," ")</f>
        <v xml:space="preserve"> </v>
      </c>
      <c r="D24" s="269"/>
      <c r="E24" s="127" t="str">
        <f>IF(NOT(ISBLANK(Organisateur!E24)),Organisateur!E24," ")</f>
        <v xml:space="preserve"> </v>
      </c>
      <c r="F24" s="115" t="str">
        <f>IF(NOT(ISBLANK(Organisateur!F24)),Organisateur!F24," ")</f>
        <v xml:space="preserve"> </v>
      </c>
      <c r="G24" s="115" t="str">
        <f>IF(NOT(ISBLANK(Organisateur!G24)),Organisateur!G24," ")</f>
        <v xml:space="preserve"> </v>
      </c>
      <c r="H24" s="115" t="str">
        <f>IF(NOT(ISBLANK(Organisateur!H24)),Organisateur!H24," ")</f>
        <v xml:space="preserve"> </v>
      </c>
      <c r="I24" s="115" t="str">
        <f>IF(NOT(ISBLANK(Organisateur!I24)),Organisateur!I24," ")</f>
        <v xml:space="preserve"> </v>
      </c>
      <c r="J24" s="115" t="str">
        <f>IF(NOT(ISBLANK(Organisateur!J24)),Organisateur!J24," ")</f>
        <v xml:space="preserve"> </v>
      </c>
      <c r="K24" s="45"/>
      <c r="L24" s="46" t="str">
        <f>IF($E24=" "," ",IF($E24=$D$31,VLOOKUP($C24,'Valeurs Règlement Campagne'!$A$4:$AB$7,14,FALSE),VLOOKUP($C24,'Valeurs Règlement Campagne'!$A$4:$M$7,4,FALSE)))</f>
        <v xml:space="preserve"> </v>
      </c>
      <c r="M24" s="47" t="str">
        <f>IF($E24=" "," ",IF($E24=$D$31,VLOOKUP($C24,'Valeurs Règlement Campagne'!$A$4:$AB$7,16,FALSE),VLOOKUP($C24,'Valeurs Règlement Campagne'!$A$4:$AB$7,5,FALSE)))</f>
        <v xml:space="preserve"> </v>
      </c>
      <c r="N24" s="46" t="str">
        <f>IF($E24=" "," ",IF($E24=$D$31,VLOOKUP($C24,'Valeurs Règlement Campagne'!$A$4:$AB$7,17,FALSE),VLOOKUP($C24,'Valeurs Règlement Campagne'!$A$4:$AB$7,6,FALSE)))</f>
        <v xml:space="preserve"> </v>
      </c>
      <c r="O24" s="48" t="str">
        <f>IF($E24=" "," ",IF($E24=$D$31,VLOOKUP($C24,'Valeurs Règlement Campagne'!$A$4:$AB$7,19,FALSE),VLOOKUP($C24,'Valeurs Règlement Campagne'!$A$4:$AB$7,7,FALSE)))</f>
        <v xml:space="preserve"> </v>
      </c>
      <c r="P24" s="49" t="str">
        <f>IF($E24=" "," ",IF($E24=$D$31,VLOOKUP($C24,'Valeurs Règlement Campagne'!$A$4:$AB$7,20,FALSE),VLOOKUP($C24,'Valeurs Règlement Campagne'!$A$4:$AB$7,8,FALSE)))</f>
        <v xml:space="preserve"> </v>
      </c>
      <c r="Q24" s="48" t="str">
        <f>IF($E24=" "," ",IF($E24=$D$31,VLOOKUP($C24,'Valeurs Règlement Campagne'!$A$4:$AB$7,22,FALSE),VLOOKUP($C24,'Valeurs Règlement Campagne'!$A$4:$AB$7,9,FALSE)))</f>
        <v xml:space="preserve"> </v>
      </c>
      <c r="R24" s="52" t="str">
        <f>IF($E24=" "," ",IF($E24=$D$31,VLOOKUP($C24,'Valeurs Règlement Campagne'!$A$4:$AB$7,25,FALSE),VLOOKUP($C24,'Valeurs Règlement Campagne'!$A$4:$AB$7,11,FALSE)))</f>
        <v xml:space="preserve"> </v>
      </c>
      <c r="S24" s="46" t="str">
        <f>IF($E24=" "," ",IF($E24=$D$31,VLOOKUP($C24,'Valeurs Règlement Campagne'!$A$4:$AB$7,26,FALSE),VLOOKUP($C24,'Valeurs Règlement Campagne'!$A$4:$AB$7,12,FALSE)))</f>
        <v xml:space="preserve"> </v>
      </c>
      <c r="T24" s="47" t="str">
        <f>IF($E24=" "," ",IF($E24=$D$31,VLOOKUP($C24,'Valeurs Règlement Campagne'!$A$4:$AB$7,28,FALSE),VLOOKUP($C24,'Valeurs Règlement Campagne'!$A$4:$AB$7,13,FALSE)))</f>
        <v xml:space="preserve"> </v>
      </c>
      <c r="U24" s="53" t="str" cm="1">
        <f t="array" ref="U24">IF(C24=" "," ",IF(AND(E24="Connues",AH24&lt;&gt;"",COUNTIFS(AH$6:AH$29,AH24,C$6:C$29,C24)&gt;1),"Doublon",IF(AND(E24="Connues",SUMPRODUCT((E$6:E$29="Connues")*(C$6:C$29=C24)*(ROW($6:$29)&lt;&gt;ROW())*(IFERROR(ABS(F$6:F$29-F24)&lt;=2,FALSE))*((IFERROR(ABS(F$6:F$29-VLOOKUP(C24,'Valeurs Règlement Campagne'!$A$4:$AB$7,14,FALSE))&lt;=2,FALSE))+(IFERROR(ABS(F$6:F$29-VLOOKUP(C24,'Valeurs Règlement Campagne'!$A$4:$AB$7,15,FALSE))&lt;=2,FALSE))+(IFERROR(ABS(F$6:F$29-VLOOKUP(C24,'Valeurs Règlement Campagne'!$A$4:$AB$7,16,FALSE))&lt;=2,FALSE))))&gt;0),"Doublon",IF($C24=" "," ",IF(F24=" "," ",IF(E24="Inconnues",AND(F24&gt;=L24,F24&lt;=M24),IF(AND('Valeurs Règlement Campagne'!$L$14="OUI",E24="Connues"),AND(F24&gt;=L24-2,F24&lt;=M24+2),OR(F24=L24,F24=L24+5,F24=M24))))))))</f>
        <v xml:space="preserve"> </v>
      </c>
      <c r="V24" s="54" t="str" cm="1">
        <f t="array" ref="V24">IF(C24=" "," ",IF(AND(E24="Connues",AH24&lt;&gt;"",COUNTIFS(AH$6:AH$29,AH24,C$6:C$29,C24)&gt;1),"Doublon",IF(AND(E24="Connues",SUMPRODUCT((E$6:E$29="Connues")*(C$6:C$29=C24)*(ROW($6:$29)&lt;&gt;ROW())*(IFERROR(ABS(G$6:G$29-G24)&lt;=2,FALSE))*((IFERROR(ABS(G$6:G$29-VLOOKUP(C24,'Valeurs Règlement Campagne'!$A$4:$AB$7,17,FALSE))&lt;=2,FALSE))+(IFERROR(ABS(G$6:G$29-VLOOKUP(C24,'Valeurs Règlement Campagne'!$A$4:$AB$7,18,FALSE))&lt;=2,FALSE))+(IFERROR(ABS(G$6:G$29-VLOOKUP(C24,'Valeurs Règlement Campagne'!$A$4:$AB$7,19,FALSE))&lt;=2,FALSE))))&gt;0),"Doublon",IF($C24=" "," ",IF(G24=" "," ",IF(E24="Inconnues",AND(G24&gt;=N24,G24&lt;=O24),IF(AND('Valeurs Règlement Campagne'!$L$14="OUI",E24="Connues"),AND(G24&gt;=N24-2,G24&lt;=O24+2),OR(G24=N24,G24=N24+5,G24=O24))))))))</f>
        <v xml:space="preserve"> </v>
      </c>
      <c r="W24" s="54" t="str" cm="1">
        <f t="array" ref="W24">IF(C24=" "," ",IF(AND(E24="Connues",AE24&lt;&gt;"",COUNTIFS(AE$6:AE$29,AE24,C$6:C$29,C24)&gt;1),"Doublon",IF(AND(E24="Connues",SUMPRODUCT((E$6:E$29="Connues")*(C$6:C$29=C24)*(ROW($6:$29)&lt;&gt;ROW())*(IFERROR(ABS(H$6:H$29-H24)&lt;=2,FALSE))*((IFERROR(ABS(H$6:H$29-VLOOKUP(C24,'Valeurs Règlement Campagne'!$A$4:$AB$7,20,FALSE))&lt;=2,FALSE))+(IFERROR(ABS(H$6:H$29-VLOOKUP(C24,'Valeurs Règlement Campagne'!$A$4:$AB$7,21,FALSE))&lt;=2,FALSE))+(IFERROR(ABS(H$6:H$29-VLOOKUP(C24,'Valeurs Règlement Campagne'!$A$4:$AB$7,22,FALSE))&lt;=2,FALSE))))&gt;0),"Doublon",IF($C24=" "," ",IF(H24=" "," ",IF(E24="Inconnues",AND(H24&gt;=P24,H24&lt;=Q24),IF(AND('Valeurs Règlement Campagne'!$L$14="OUI",E24="Connues"),AND(H24&gt;=P24-2,H24&lt;=Q24+2),OR(H24=P24,H24=P24+5,H24=P24))))))))</f>
        <v xml:space="preserve"> </v>
      </c>
      <c r="X24" s="54" t="str" cm="1">
        <f t="array" ref="X24">IF(C24=" "," ",IF(AND(E24="Connues",AH24&lt;&gt;"",COUNTIFS(AH$6:AH$29,AH24,C$6:C$29,C24)&gt;1),"Doublon",IF(AND(E24="Connues",SUMPRODUCT((E$6:E$29="Connues")*(C$6:C$29=C24)*(ROW($6:$29)&lt;&gt;ROW())*(IFERROR(ABS(I$6:I$29-I24)&lt;=2,FALSE))*((IFERROR(ABS(I$6:I$29-VLOOKUP(C24,'Valeurs Règlement Campagne'!$A$4:$AB$7,23,FALSE))&lt;=2,FALSE))+(IFERROR(ABS(I$6:I$29-VLOOKUP(C24,'Valeurs Règlement Campagne'!$A$4:$AB$7,24,FALSE))&lt;=2,FALSE))+(IFERROR(ABS(I$6:I$29-VLOOKUP(C24,'Valeurs Règlement Campagne'!$A$4:$AB$7,25,FALSE))&lt;=2,FALSE))))&gt;0),"Doublon",IF($C24=" "," ",IF(I24=" "," ",IF(E24="Inconnues",AND(I24&gt;=P24,I24&lt;=R24),IF(AND('Valeurs Règlement Campagne'!$L$14="OUI",E24="Connues"),AND(I24&gt;=P24-2,I24&lt;=R24+2),OR(I24=P24,I24=P24+5,I24=P24))))))))</f>
        <v xml:space="preserve"> </v>
      </c>
      <c r="Y24" s="322" t="str" cm="1">
        <f t="array" ref="Y24">IF(C24=" "," ",IF(AND(E24="Connues",AH24&lt;&gt;"",COUNTIFS(AH$6:AH$29,AH24,C$6:C$29,C24)&gt;1),"Doublon",IF(AND(E24="Connues",SUMPRODUCT((E$6:E$29="Connues")*(C$6:C$29=C24)*(ROW($6:$29)&lt;&gt;ROW())*(IFERROR(ABS(J$6:J$29-J24)&lt;=2,FALSE))*((IFERROR(ABS(J$6:J$29-VLOOKUP(C24,'Valeurs Règlement Campagne'!$A$4:$AB$7,26,FALSE))&lt;=2,FALSE))+(IFERROR(ABS(J$6:J$29-VLOOKUP(C24,'Valeurs Règlement Campagne'!$A$4:$AB$7,27,FALSE))&lt;=2,FALSE))+(IFERROR(ABS(J$6:J$29-VLOOKUP(C24,'Valeurs Règlement Campagne'!$A$4:$AB$7,28,FALSE))&lt;=2,FALSE))))&gt;0),"Doublon",IF($C24=" "," ",IF(J24=" "," ",IF(E24="Inconnues",AND(J24&gt;=S24,J24&lt;=T24),IF(AND('Valeurs Règlement Campagne'!$L$14="OUI",E24="Connues"),AND(J24&gt;=S24-2,J24&lt;=T24+2),OR(J24=S24,J24=S24+5,J24=S24))))))))</f>
        <v xml:space="preserve"> </v>
      </c>
      <c r="Z24" s="320" t="str">
        <f t="shared" si="0"/>
        <v xml:space="preserve"> </v>
      </c>
      <c r="AA24" s="233"/>
      <c r="AB24" s="233" t="str">
        <f t="shared" si="1"/>
        <v xml:space="preserve"> </v>
      </c>
      <c r="AC24" s="233"/>
      <c r="AD24" s="233" t="str">
        <f t="shared" si="2"/>
        <v xml:space="preserve"> </v>
      </c>
      <c r="AE24" s="233"/>
      <c r="AF24" s="233" t="str">
        <f t="shared" si="3"/>
        <v xml:space="preserve"> </v>
      </c>
      <c r="AG24" s="234"/>
      <c r="AH24" s="55" t="str">
        <f t="shared" si="4"/>
        <v/>
      </c>
    </row>
    <row r="25" spans="1:213" ht="20.75" customHeight="1">
      <c r="A25" s="130">
        <v>20</v>
      </c>
      <c r="B25" s="133" t="str">
        <f>IF(NOT(ISBLANK(Organisateur!B25)),Organisateur!B25," ")</f>
        <v xml:space="preserve"> </v>
      </c>
      <c r="C25" s="269" t="str">
        <f>IF(NOT(ISBLANK(Organisateur!C25)),Organisateur!C25," ")</f>
        <v xml:space="preserve"> </v>
      </c>
      <c r="D25" s="269"/>
      <c r="E25" s="127" t="str">
        <f>IF(NOT(ISBLANK(Organisateur!E25)),Organisateur!E25," ")</f>
        <v xml:space="preserve"> </v>
      </c>
      <c r="F25" s="115" t="str">
        <f>IF(NOT(ISBLANK(Organisateur!F25)),Organisateur!F25," ")</f>
        <v xml:space="preserve"> </v>
      </c>
      <c r="G25" s="115" t="str">
        <f>IF(NOT(ISBLANK(Organisateur!G25)),Organisateur!G25," ")</f>
        <v xml:space="preserve"> </v>
      </c>
      <c r="H25" s="115" t="str">
        <f>IF(NOT(ISBLANK(Organisateur!H25)),Organisateur!H25," ")</f>
        <v xml:space="preserve"> </v>
      </c>
      <c r="I25" s="115" t="str">
        <f>IF(NOT(ISBLANK(Organisateur!I25)),Organisateur!I25," ")</f>
        <v xml:space="preserve"> </v>
      </c>
      <c r="J25" s="115" t="str">
        <f>IF(NOT(ISBLANK(Organisateur!J25)),Organisateur!J25," ")</f>
        <v xml:space="preserve"> </v>
      </c>
      <c r="K25" s="45"/>
      <c r="L25" s="46" t="str">
        <f>IF($E25=" "," ",IF($E25=$D$31,VLOOKUP($C25,'Valeurs Règlement Campagne'!$A$4:$AB$7,14,FALSE),VLOOKUP($C25,'Valeurs Règlement Campagne'!$A$4:$M$7,4,FALSE)))</f>
        <v xml:space="preserve"> </v>
      </c>
      <c r="M25" s="47" t="str">
        <f>IF($E25=" "," ",IF($E25=$D$31,VLOOKUP($C25,'Valeurs Règlement Campagne'!$A$4:$AB$7,16,FALSE),VLOOKUP($C25,'Valeurs Règlement Campagne'!$A$4:$AB$7,5,FALSE)))</f>
        <v xml:space="preserve"> </v>
      </c>
      <c r="N25" s="46" t="str">
        <f>IF($E25=" "," ",IF($E25=$D$31,VLOOKUP($C25,'Valeurs Règlement Campagne'!$A$4:$AB$7,17,FALSE),VLOOKUP($C25,'Valeurs Règlement Campagne'!$A$4:$AB$7,6,FALSE)))</f>
        <v xml:space="preserve"> </v>
      </c>
      <c r="O25" s="48" t="str">
        <f>IF($E25=" "," ",IF($E25=$D$31,VLOOKUP($C25,'Valeurs Règlement Campagne'!$A$4:$AB$7,19,FALSE),VLOOKUP($C25,'Valeurs Règlement Campagne'!$A$4:$AB$7,7,FALSE)))</f>
        <v xml:space="preserve"> </v>
      </c>
      <c r="P25" s="49" t="str">
        <f>IF($E25=" "," ",IF($E25=$D$31,VLOOKUP($C25,'Valeurs Règlement Campagne'!$A$4:$AB$7,20,FALSE),VLOOKUP($C25,'Valeurs Règlement Campagne'!$A$4:$AB$7,8,FALSE)))</f>
        <v xml:space="preserve"> </v>
      </c>
      <c r="Q25" s="48" t="str">
        <f>IF($E25=" "," ",IF($E25=$D$31,VLOOKUP($C25,'Valeurs Règlement Campagne'!$A$4:$AB$7,22,FALSE),VLOOKUP($C25,'Valeurs Règlement Campagne'!$A$4:$AB$7,9,FALSE)))</f>
        <v xml:space="preserve"> </v>
      </c>
      <c r="R25" s="52" t="str">
        <f>IF($E25=" "," ",IF($E25=$D$31,VLOOKUP($C25,'Valeurs Règlement Campagne'!$A$4:$AB$7,25,FALSE),VLOOKUP($C25,'Valeurs Règlement Campagne'!$A$4:$AB$7,11,FALSE)))</f>
        <v xml:space="preserve"> </v>
      </c>
      <c r="S25" s="46" t="str">
        <f>IF($E25=" "," ",IF($E25=$D$31,VLOOKUP($C25,'Valeurs Règlement Campagne'!$A$4:$AB$7,26,FALSE),VLOOKUP($C25,'Valeurs Règlement Campagne'!$A$4:$AB$7,12,FALSE)))</f>
        <v xml:space="preserve"> </v>
      </c>
      <c r="T25" s="47" t="str">
        <f>IF($E25=" "," ",IF($E25=$D$31,VLOOKUP($C25,'Valeurs Règlement Campagne'!$A$4:$AB$7,28,FALSE),VLOOKUP($C25,'Valeurs Règlement Campagne'!$A$4:$AB$7,13,FALSE)))</f>
        <v xml:space="preserve"> </v>
      </c>
      <c r="U25" s="53" t="str" cm="1">
        <f t="array" ref="U25">IF(C25=" "," ",IF(AND(E25="Connues",AH25&lt;&gt;"",COUNTIFS(AH$6:AH$29,AH25,C$6:C$29,C25)&gt;1),"Doublon",IF(AND(E25="Connues",SUMPRODUCT((E$6:E$29="Connues")*(C$6:C$29=C25)*(ROW($6:$29)&lt;&gt;ROW())*(IFERROR(ABS(F$6:F$29-F25)&lt;=2,FALSE))*((IFERROR(ABS(F$6:F$29-VLOOKUP(C25,'Valeurs Règlement Campagne'!$A$4:$AB$7,14,FALSE))&lt;=2,FALSE))+(IFERROR(ABS(F$6:F$29-VLOOKUP(C25,'Valeurs Règlement Campagne'!$A$4:$AB$7,15,FALSE))&lt;=2,FALSE))+(IFERROR(ABS(F$6:F$29-VLOOKUP(C25,'Valeurs Règlement Campagne'!$A$4:$AB$7,16,FALSE))&lt;=2,FALSE))))&gt;0),"Doublon",IF($C25=" "," ",IF(F25=" "," ",IF(E25="Inconnues",AND(F25&gt;=L25,F25&lt;=M25),IF(AND('Valeurs Règlement Campagne'!$L$14="OUI",E25="Connues"),AND(F25&gt;=L25-2,F25&lt;=M25+2),OR(F25=L25,F25=L25+5,F25=M25))))))))</f>
        <v xml:space="preserve"> </v>
      </c>
      <c r="V25" s="54" t="str" cm="1">
        <f t="array" ref="V25">IF(C25=" "," ",IF(AND(E25="Connues",AH25&lt;&gt;"",COUNTIFS(AH$6:AH$29,AH25,C$6:C$29,C25)&gt;1),"Doublon",IF(AND(E25="Connues",SUMPRODUCT((E$6:E$29="Connues")*(C$6:C$29=C25)*(ROW($6:$29)&lt;&gt;ROW())*(IFERROR(ABS(G$6:G$29-G25)&lt;=2,FALSE))*((IFERROR(ABS(G$6:G$29-VLOOKUP(C25,'Valeurs Règlement Campagne'!$A$4:$AB$7,17,FALSE))&lt;=2,FALSE))+(IFERROR(ABS(G$6:G$29-VLOOKUP(C25,'Valeurs Règlement Campagne'!$A$4:$AB$7,18,FALSE))&lt;=2,FALSE))+(IFERROR(ABS(G$6:G$29-VLOOKUP(C25,'Valeurs Règlement Campagne'!$A$4:$AB$7,19,FALSE))&lt;=2,FALSE))))&gt;0),"Doublon",IF($C25=" "," ",IF(G25=" "," ",IF(E25="Inconnues",AND(G25&gt;=N25,G25&lt;=O25),IF(AND('Valeurs Règlement Campagne'!$L$14="OUI",E25="Connues"),AND(G25&gt;=N25-2,G25&lt;=O25+2),OR(G25=N25,G25=N25+5,G25=O25))))))))</f>
        <v xml:space="preserve"> </v>
      </c>
      <c r="W25" s="54" t="str" cm="1">
        <f t="array" ref="W25">IF(C25=" "," ",IF(AND(E25="Connues",AE25&lt;&gt;"",COUNTIFS(AE$6:AE$29,AE25,C$6:C$29,C25)&gt;1),"Doublon",IF(AND(E25="Connues",SUMPRODUCT((E$6:E$29="Connues")*(C$6:C$29=C25)*(ROW($6:$29)&lt;&gt;ROW())*(IFERROR(ABS(H$6:H$29-H25)&lt;=2,FALSE))*((IFERROR(ABS(H$6:H$29-VLOOKUP(C25,'Valeurs Règlement Campagne'!$A$4:$AB$7,20,FALSE))&lt;=2,FALSE))+(IFERROR(ABS(H$6:H$29-VLOOKUP(C25,'Valeurs Règlement Campagne'!$A$4:$AB$7,21,FALSE))&lt;=2,FALSE))+(IFERROR(ABS(H$6:H$29-VLOOKUP(C25,'Valeurs Règlement Campagne'!$A$4:$AB$7,22,FALSE))&lt;=2,FALSE))))&gt;0),"Doublon",IF($C25=" "," ",IF(H25=" "," ",IF(E25="Inconnues",AND(H25&gt;=P25,H25&lt;=Q25),IF(AND('Valeurs Règlement Campagne'!$L$14="OUI",E25="Connues"),AND(H25&gt;=P25-2,H25&lt;=Q25+2),OR(H25=P25,H25=P25+5,H25=P25))))))))</f>
        <v xml:space="preserve"> </v>
      </c>
      <c r="X25" s="54" t="str" cm="1">
        <f t="array" ref="X25">IF(C25=" "," ",IF(AND(E25="Connues",AH25&lt;&gt;"",COUNTIFS(AH$6:AH$29,AH25,C$6:C$29,C25)&gt;1),"Doublon",IF(AND(E25="Connues",SUMPRODUCT((E$6:E$29="Connues")*(C$6:C$29=C25)*(ROW($6:$29)&lt;&gt;ROW())*(IFERROR(ABS(I$6:I$29-I25)&lt;=2,FALSE))*((IFERROR(ABS(I$6:I$29-VLOOKUP(C25,'Valeurs Règlement Campagne'!$A$4:$AB$7,23,FALSE))&lt;=2,FALSE))+(IFERROR(ABS(I$6:I$29-VLOOKUP(C25,'Valeurs Règlement Campagne'!$A$4:$AB$7,24,FALSE))&lt;=2,FALSE))+(IFERROR(ABS(I$6:I$29-VLOOKUP(C25,'Valeurs Règlement Campagne'!$A$4:$AB$7,25,FALSE))&lt;=2,FALSE))))&gt;0),"Doublon",IF($C25=" "," ",IF(I25=" "," ",IF(E25="Inconnues",AND(I25&gt;=P25,I25&lt;=R25),IF(AND('Valeurs Règlement Campagne'!$L$14="OUI",E25="Connues"),AND(I25&gt;=P25-2,I25&lt;=R25+2),OR(I25=P25,I25=P25+5,I25=P25))))))))</f>
        <v xml:space="preserve"> </v>
      </c>
      <c r="Y25" s="322" t="str" cm="1">
        <f t="array" ref="Y25">IF(C25=" "," ",IF(AND(E25="Connues",AH25&lt;&gt;"",COUNTIFS(AH$6:AH$29,AH25,C$6:C$29,C25)&gt;1),"Doublon",IF(AND(E25="Connues",SUMPRODUCT((E$6:E$29="Connues")*(C$6:C$29=C25)*(ROW($6:$29)&lt;&gt;ROW())*(IFERROR(ABS(J$6:J$29-J25)&lt;=2,FALSE))*((IFERROR(ABS(J$6:J$29-VLOOKUP(C25,'Valeurs Règlement Campagne'!$A$4:$AB$7,26,FALSE))&lt;=2,FALSE))+(IFERROR(ABS(J$6:J$29-VLOOKUP(C25,'Valeurs Règlement Campagne'!$A$4:$AB$7,27,FALSE))&lt;=2,FALSE))+(IFERROR(ABS(J$6:J$29-VLOOKUP(C25,'Valeurs Règlement Campagne'!$A$4:$AB$7,28,FALSE))&lt;=2,FALSE))))&gt;0),"Doublon",IF($C25=" "," ",IF(J25=" "," ",IF(E25="Inconnues",AND(J25&gt;=S25,J25&lt;=T25),IF(AND('Valeurs Règlement Campagne'!$L$14="OUI",E25="Connues"),AND(J25&gt;=S25-2,J25&lt;=T25+2),OR(J25=S25,J25=S25+5,J25=S25))))))))</f>
        <v xml:space="preserve"> </v>
      </c>
      <c r="Z25" s="320" t="str">
        <f t="shared" si="0"/>
        <v xml:space="preserve"> </v>
      </c>
      <c r="AA25" s="233"/>
      <c r="AB25" s="233" t="str">
        <f t="shared" si="1"/>
        <v xml:space="preserve"> </v>
      </c>
      <c r="AC25" s="233"/>
      <c r="AD25" s="233" t="str">
        <f t="shared" si="2"/>
        <v xml:space="preserve"> </v>
      </c>
      <c r="AE25" s="233"/>
      <c r="AF25" s="233" t="str">
        <f t="shared" si="3"/>
        <v xml:space="preserve"> </v>
      </c>
      <c r="AG25" s="234"/>
      <c r="AH25" s="55" t="str">
        <f t="shared" si="4"/>
        <v/>
      </c>
    </row>
    <row r="26" spans="1:213" ht="20.75" customHeight="1">
      <c r="A26" s="130">
        <v>21</v>
      </c>
      <c r="B26" s="133" t="str">
        <f>IF(NOT(ISBLANK(Organisateur!B26)),Organisateur!B26," ")</f>
        <v xml:space="preserve"> </v>
      </c>
      <c r="C26" s="269" t="str">
        <f>IF(NOT(ISBLANK(Organisateur!C26)),Organisateur!C26," ")</f>
        <v xml:space="preserve"> </v>
      </c>
      <c r="D26" s="269"/>
      <c r="E26" s="127" t="str">
        <f>IF(NOT(ISBLANK(Organisateur!E26)),Organisateur!E26," ")</f>
        <v xml:space="preserve"> </v>
      </c>
      <c r="F26" s="115" t="str">
        <f>IF(NOT(ISBLANK(Organisateur!F26)),Organisateur!F26," ")</f>
        <v xml:space="preserve"> </v>
      </c>
      <c r="G26" s="115" t="str">
        <f>IF(NOT(ISBLANK(Organisateur!G26)),Organisateur!G26," ")</f>
        <v xml:space="preserve"> </v>
      </c>
      <c r="H26" s="115" t="str">
        <f>IF(NOT(ISBLANK(Organisateur!H26)),Organisateur!H26," ")</f>
        <v xml:space="preserve"> </v>
      </c>
      <c r="I26" s="115" t="str">
        <f>IF(NOT(ISBLANK(Organisateur!I26)),Organisateur!I26," ")</f>
        <v xml:space="preserve"> </v>
      </c>
      <c r="J26" s="115" t="str">
        <f>IF(NOT(ISBLANK(Organisateur!J26)),Organisateur!J26," ")</f>
        <v xml:space="preserve"> </v>
      </c>
      <c r="K26" s="45"/>
      <c r="L26" s="46" t="str">
        <f>IF($E26=" "," ",IF($E26=$D$31,VLOOKUP($C26,'Valeurs Règlement Campagne'!$A$4:$AB$7,14,FALSE),VLOOKUP($C26,'Valeurs Règlement Campagne'!$A$4:$M$7,4,FALSE)))</f>
        <v xml:space="preserve"> </v>
      </c>
      <c r="M26" s="47" t="str">
        <f>IF($E26=" "," ",IF($E26=$D$31,VLOOKUP($C26,'Valeurs Règlement Campagne'!$A$4:$AB$7,16,FALSE),VLOOKUP($C26,'Valeurs Règlement Campagne'!$A$4:$AB$7,5,FALSE)))</f>
        <v xml:space="preserve"> </v>
      </c>
      <c r="N26" s="46" t="str">
        <f>IF($E26=" "," ",IF($E26=$D$31,VLOOKUP($C26,'Valeurs Règlement Campagne'!$A$4:$AB$7,17,FALSE),VLOOKUP($C26,'Valeurs Règlement Campagne'!$A$4:$AB$7,6,FALSE)))</f>
        <v xml:space="preserve"> </v>
      </c>
      <c r="O26" s="48" t="str">
        <f>IF($E26=" "," ",IF($E26=$D$31,VLOOKUP($C26,'Valeurs Règlement Campagne'!$A$4:$AB$7,19,FALSE),VLOOKUP($C26,'Valeurs Règlement Campagne'!$A$4:$AB$7,7,FALSE)))</f>
        <v xml:space="preserve"> </v>
      </c>
      <c r="P26" s="49" t="str">
        <f>IF($E26=" "," ",IF($E26=$D$31,VLOOKUP($C26,'Valeurs Règlement Campagne'!$A$4:$AB$7,20,FALSE),VLOOKUP($C26,'Valeurs Règlement Campagne'!$A$4:$AB$7,8,FALSE)))</f>
        <v xml:space="preserve"> </v>
      </c>
      <c r="Q26" s="48" t="str">
        <f>IF($E26=" "," ",IF($E26=$D$31,VLOOKUP($C26,'Valeurs Règlement Campagne'!$A$4:$AB$7,22,FALSE),VLOOKUP($C26,'Valeurs Règlement Campagne'!$A$4:$AB$7,9,FALSE)))</f>
        <v xml:space="preserve"> </v>
      </c>
      <c r="R26" s="52" t="str">
        <f>IF($E26=" "," ",IF($E26=$D$31,VLOOKUP($C26,'Valeurs Règlement Campagne'!$A$4:$AB$7,25,FALSE),VLOOKUP($C26,'Valeurs Règlement Campagne'!$A$4:$AB$7,11,FALSE)))</f>
        <v xml:space="preserve"> </v>
      </c>
      <c r="S26" s="46" t="str">
        <f>IF($E26=" "," ",IF($E26=$D$31,VLOOKUP($C26,'Valeurs Règlement Campagne'!$A$4:$AB$7,26,FALSE),VLOOKUP($C26,'Valeurs Règlement Campagne'!$A$4:$AB$7,12,FALSE)))</f>
        <v xml:space="preserve"> </v>
      </c>
      <c r="T26" s="47" t="str">
        <f>IF($E26=" "," ",IF($E26=$D$31,VLOOKUP($C26,'Valeurs Règlement Campagne'!$A$4:$AB$7,28,FALSE),VLOOKUP($C26,'Valeurs Règlement Campagne'!$A$4:$AB$7,13,FALSE)))</f>
        <v xml:space="preserve"> </v>
      </c>
      <c r="U26" s="53" t="str" cm="1">
        <f t="array" ref="U26">IF(C26=" "," ",IF(AND(E26="Connues",AH26&lt;&gt;"",COUNTIFS(AH$6:AH$29,AH26,C$6:C$29,C26)&gt;1),"Doublon",IF(AND(E26="Connues",SUMPRODUCT((E$6:E$29="Connues")*(C$6:C$29=C26)*(ROW($6:$29)&lt;&gt;ROW())*(IFERROR(ABS(F$6:F$29-F26)&lt;=2,FALSE))*((IFERROR(ABS(F$6:F$29-VLOOKUP(C26,'Valeurs Règlement Campagne'!$A$4:$AB$7,14,FALSE))&lt;=2,FALSE))+(IFERROR(ABS(F$6:F$29-VLOOKUP(C26,'Valeurs Règlement Campagne'!$A$4:$AB$7,15,FALSE))&lt;=2,FALSE))+(IFERROR(ABS(F$6:F$29-VLOOKUP(C26,'Valeurs Règlement Campagne'!$A$4:$AB$7,16,FALSE))&lt;=2,FALSE))))&gt;0),"Doublon",IF($C26=" "," ",IF(F26=" "," ",IF(E26="Inconnues",AND(F26&gt;=L26,F26&lt;=M26),IF(AND('Valeurs Règlement Campagne'!$L$14="OUI",E26="Connues"),AND(F26&gt;=L26-2,F26&lt;=M26+2),OR(F26=L26,F26=L26+5,F26=M26))))))))</f>
        <v xml:space="preserve"> </v>
      </c>
      <c r="V26" s="54" t="str" cm="1">
        <f t="array" ref="V26">IF(C26=" "," ",IF(AND(E26="Connues",AH26&lt;&gt;"",COUNTIFS(AH$6:AH$29,AH26,C$6:C$29,C26)&gt;1),"Doublon",IF(AND(E26="Connues",SUMPRODUCT((E$6:E$29="Connues")*(C$6:C$29=C26)*(ROW($6:$29)&lt;&gt;ROW())*(IFERROR(ABS(G$6:G$29-G26)&lt;=2,FALSE))*((IFERROR(ABS(G$6:G$29-VLOOKUP(C26,'Valeurs Règlement Campagne'!$A$4:$AB$7,17,FALSE))&lt;=2,FALSE))+(IFERROR(ABS(G$6:G$29-VLOOKUP(C26,'Valeurs Règlement Campagne'!$A$4:$AB$7,18,FALSE))&lt;=2,FALSE))+(IFERROR(ABS(G$6:G$29-VLOOKUP(C26,'Valeurs Règlement Campagne'!$A$4:$AB$7,19,FALSE))&lt;=2,FALSE))))&gt;0),"Doublon",IF($C26=" "," ",IF(G26=" "," ",IF(E26="Inconnues",AND(G26&gt;=N26,G26&lt;=O26),IF(AND('Valeurs Règlement Campagne'!$L$14="OUI",E26="Connues"),AND(G26&gt;=N26-2,G26&lt;=O26+2),OR(G26=N26,G26=N26+5,G26=O26))))))))</f>
        <v xml:space="preserve"> </v>
      </c>
      <c r="W26" s="54" t="str" cm="1">
        <f t="array" ref="W26">IF(C26=" "," ",IF(AND(E26="Connues",AE26&lt;&gt;"",COUNTIFS(AE$6:AE$29,AE26,C$6:C$29,C26)&gt;1),"Doublon",IF(AND(E26="Connues",SUMPRODUCT((E$6:E$29="Connues")*(C$6:C$29=C26)*(ROW($6:$29)&lt;&gt;ROW())*(IFERROR(ABS(H$6:H$29-H26)&lt;=2,FALSE))*((IFERROR(ABS(H$6:H$29-VLOOKUP(C26,'Valeurs Règlement Campagne'!$A$4:$AB$7,20,FALSE))&lt;=2,FALSE))+(IFERROR(ABS(H$6:H$29-VLOOKUP(C26,'Valeurs Règlement Campagne'!$A$4:$AB$7,21,FALSE))&lt;=2,FALSE))+(IFERROR(ABS(H$6:H$29-VLOOKUP(C26,'Valeurs Règlement Campagne'!$A$4:$AB$7,22,FALSE))&lt;=2,FALSE))))&gt;0),"Doublon",IF($C26=" "," ",IF(H26=" "," ",IF(E26="Inconnues",AND(H26&gt;=P26,H26&lt;=Q26),IF(AND('Valeurs Règlement Campagne'!$L$14="OUI",E26="Connues"),AND(H26&gt;=P26-2,H26&lt;=Q26+2),OR(H26=P26,H26=P26+5,H26=P26))))))))</f>
        <v xml:space="preserve"> </v>
      </c>
      <c r="X26" s="54" t="str" cm="1">
        <f t="array" ref="X26">IF(C26=" "," ",IF(AND(E26="Connues",AH26&lt;&gt;"",COUNTIFS(AH$6:AH$29,AH26,C$6:C$29,C26)&gt;1),"Doublon",IF(AND(E26="Connues",SUMPRODUCT((E$6:E$29="Connues")*(C$6:C$29=C26)*(ROW($6:$29)&lt;&gt;ROW())*(IFERROR(ABS(I$6:I$29-I26)&lt;=2,FALSE))*((IFERROR(ABS(I$6:I$29-VLOOKUP(C26,'Valeurs Règlement Campagne'!$A$4:$AB$7,23,FALSE))&lt;=2,FALSE))+(IFERROR(ABS(I$6:I$29-VLOOKUP(C26,'Valeurs Règlement Campagne'!$A$4:$AB$7,24,FALSE))&lt;=2,FALSE))+(IFERROR(ABS(I$6:I$29-VLOOKUP(C26,'Valeurs Règlement Campagne'!$A$4:$AB$7,25,FALSE))&lt;=2,FALSE))))&gt;0),"Doublon",IF($C26=" "," ",IF(I26=" "," ",IF(E26="Inconnues",AND(I26&gt;=P26,I26&lt;=R26),IF(AND('Valeurs Règlement Campagne'!$L$14="OUI",E26="Connues"),AND(I26&gt;=P26-2,I26&lt;=R26+2),OR(I26=P26,I26=P26+5,I26=P26))))))))</f>
        <v xml:space="preserve"> </v>
      </c>
      <c r="Y26" s="322" t="str" cm="1">
        <f t="array" ref="Y26">IF(C26=" "," ",IF(AND(E26="Connues",AH26&lt;&gt;"",COUNTIFS(AH$6:AH$29,AH26,C$6:C$29,C26)&gt;1),"Doublon",IF(AND(E26="Connues",SUMPRODUCT((E$6:E$29="Connues")*(C$6:C$29=C26)*(ROW($6:$29)&lt;&gt;ROW())*(IFERROR(ABS(J$6:J$29-J26)&lt;=2,FALSE))*((IFERROR(ABS(J$6:J$29-VLOOKUP(C26,'Valeurs Règlement Campagne'!$A$4:$AB$7,26,FALSE))&lt;=2,FALSE))+(IFERROR(ABS(J$6:J$29-VLOOKUP(C26,'Valeurs Règlement Campagne'!$A$4:$AB$7,27,FALSE))&lt;=2,FALSE))+(IFERROR(ABS(J$6:J$29-VLOOKUP(C26,'Valeurs Règlement Campagne'!$A$4:$AB$7,28,FALSE))&lt;=2,FALSE))))&gt;0),"Doublon",IF($C26=" "," ",IF(J26=" "," ",IF(E26="Inconnues",AND(J26&gt;=S26,J26&lt;=T26),IF(AND('Valeurs Règlement Campagne'!$L$14="OUI",E26="Connues"),AND(J26&gt;=S26-2,J26&lt;=T26+2),OR(J26=S26,J26=S26+5,J26=S26))))))))</f>
        <v xml:space="preserve"> </v>
      </c>
      <c r="Z26" s="320" t="str">
        <f t="shared" si="0"/>
        <v xml:space="preserve"> </v>
      </c>
      <c r="AA26" s="233"/>
      <c r="AB26" s="233" t="str">
        <f t="shared" si="1"/>
        <v xml:space="preserve"> </v>
      </c>
      <c r="AC26" s="233"/>
      <c r="AD26" s="233" t="str">
        <f t="shared" si="2"/>
        <v xml:space="preserve"> </v>
      </c>
      <c r="AE26" s="233"/>
      <c r="AF26" s="233" t="str">
        <f t="shared" si="3"/>
        <v xml:space="preserve"> </v>
      </c>
      <c r="AG26" s="234"/>
      <c r="AH26" s="55" t="str">
        <f t="shared" si="4"/>
        <v/>
      </c>
    </row>
    <row r="27" spans="1:213" ht="20.75" customHeight="1">
      <c r="A27" s="130">
        <v>22</v>
      </c>
      <c r="B27" s="133" t="str">
        <f>IF(NOT(ISBLANK(Organisateur!B27)),Organisateur!B27," ")</f>
        <v xml:space="preserve"> </v>
      </c>
      <c r="C27" s="269" t="str">
        <f>IF(NOT(ISBLANK(Organisateur!C27)),Organisateur!C27," ")</f>
        <v xml:space="preserve"> </v>
      </c>
      <c r="D27" s="269"/>
      <c r="E27" s="127" t="str">
        <f>IF(NOT(ISBLANK(Organisateur!E27)),Organisateur!E27," ")</f>
        <v xml:space="preserve"> </v>
      </c>
      <c r="F27" s="115" t="str">
        <f>IF(NOT(ISBLANK(Organisateur!F27)),Organisateur!F27," ")</f>
        <v xml:space="preserve"> </v>
      </c>
      <c r="G27" s="115" t="str">
        <f>IF(NOT(ISBLANK(Organisateur!G27)),Organisateur!G27," ")</f>
        <v xml:space="preserve"> </v>
      </c>
      <c r="H27" s="115" t="str">
        <f>IF(NOT(ISBLANK(Organisateur!H27)),Organisateur!H27," ")</f>
        <v xml:space="preserve"> </v>
      </c>
      <c r="I27" s="115" t="str">
        <f>IF(NOT(ISBLANK(Organisateur!I27)),Organisateur!I27," ")</f>
        <v xml:space="preserve"> </v>
      </c>
      <c r="J27" s="115" t="str">
        <f>IF(NOT(ISBLANK(Organisateur!J27)),Organisateur!J27," ")</f>
        <v xml:space="preserve"> </v>
      </c>
      <c r="K27" s="45"/>
      <c r="L27" s="46" t="str">
        <f>IF($E27=" "," ",IF($E27=$D$31,VLOOKUP($C27,'Valeurs Règlement Campagne'!$A$4:$AB$7,14,FALSE),VLOOKUP($C27,'Valeurs Règlement Campagne'!$A$4:$M$7,4,FALSE)))</f>
        <v xml:space="preserve"> </v>
      </c>
      <c r="M27" s="47" t="str">
        <f>IF($E27=" "," ",IF($E27=$D$31,VLOOKUP($C27,'Valeurs Règlement Campagne'!$A$4:$AB$7,16,FALSE),VLOOKUP($C27,'Valeurs Règlement Campagne'!$A$4:$AB$7,5,FALSE)))</f>
        <v xml:space="preserve"> </v>
      </c>
      <c r="N27" s="46" t="str">
        <f>IF($E27=" "," ",IF($E27=$D$31,VLOOKUP($C27,'Valeurs Règlement Campagne'!$A$4:$AB$7,17,FALSE),VLOOKUP($C27,'Valeurs Règlement Campagne'!$A$4:$AB$7,6,FALSE)))</f>
        <v xml:space="preserve"> </v>
      </c>
      <c r="O27" s="48" t="str">
        <f>IF($E27=" "," ",IF($E27=$D$31,VLOOKUP($C27,'Valeurs Règlement Campagne'!$A$4:$AB$7,19,FALSE),VLOOKUP($C27,'Valeurs Règlement Campagne'!$A$4:$AB$7,7,FALSE)))</f>
        <v xml:space="preserve"> </v>
      </c>
      <c r="P27" s="49" t="str">
        <f>IF($E27=" "," ",IF($E27=$D$31,VLOOKUP($C27,'Valeurs Règlement Campagne'!$A$4:$AB$7,20,FALSE),VLOOKUP($C27,'Valeurs Règlement Campagne'!$A$4:$AB$7,8,FALSE)))</f>
        <v xml:space="preserve"> </v>
      </c>
      <c r="Q27" s="48" t="str">
        <f>IF($E27=" "," ",IF($E27=$D$31,VLOOKUP($C27,'Valeurs Règlement Campagne'!$A$4:$AB$7,22,FALSE),VLOOKUP($C27,'Valeurs Règlement Campagne'!$A$4:$AB$7,9,FALSE)))</f>
        <v xml:space="preserve"> </v>
      </c>
      <c r="R27" s="52" t="str">
        <f>IF($E27=" "," ",IF($E27=$D$31,VLOOKUP($C27,'Valeurs Règlement Campagne'!$A$4:$AB$7,25,FALSE),VLOOKUP($C27,'Valeurs Règlement Campagne'!$A$4:$AB$7,11,FALSE)))</f>
        <v xml:space="preserve"> </v>
      </c>
      <c r="S27" s="46" t="str">
        <f>IF($E27=" "," ",IF($E27=$D$31,VLOOKUP($C27,'Valeurs Règlement Campagne'!$A$4:$AB$7,26,FALSE),VLOOKUP($C27,'Valeurs Règlement Campagne'!$A$4:$AB$7,12,FALSE)))</f>
        <v xml:space="preserve"> </v>
      </c>
      <c r="T27" s="47" t="str">
        <f>IF($E27=" "," ",IF($E27=$D$31,VLOOKUP($C27,'Valeurs Règlement Campagne'!$A$4:$AB$7,28,FALSE),VLOOKUP($C27,'Valeurs Règlement Campagne'!$A$4:$AB$7,13,FALSE)))</f>
        <v xml:space="preserve"> </v>
      </c>
      <c r="U27" s="53" t="str" cm="1">
        <f t="array" ref="U27">IF(C27=" "," ",IF(AND(E27="Connues",AH27&lt;&gt;"",COUNTIFS(AH$6:AH$29,AH27,C$6:C$29,C27)&gt;1),"Doublon",IF(AND(E27="Connues",SUMPRODUCT((E$6:E$29="Connues")*(C$6:C$29=C27)*(ROW($6:$29)&lt;&gt;ROW())*(IFERROR(ABS(F$6:F$29-F27)&lt;=2,FALSE))*((IFERROR(ABS(F$6:F$29-VLOOKUP(C27,'Valeurs Règlement Campagne'!$A$4:$AB$7,14,FALSE))&lt;=2,FALSE))+(IFERROR(ABS(F$6:F$29-VLOOKUP(C27,'Valeurs Règlement Campagne'!$A$4:$AB$7,15,FALSE))&lt;=2,FALSE))+(IFERROR(ABS(F$6:F$29-VLOOKUP(C27,'Valeurs Règlement Campagne'!$A$4:$AB$7,16,FALSE))&lt;=2,FALSE))))&gt;0),"Doublon",IF($C27=" "," ",IF(F27=" "," ",IF(E27="Inconnues",AND(F27&gt;=L27,F27&lt;=M27),IF(AND('Valeurs Règlement Campagne'!$L$14="OUI",E27="Connues"),AND(F27&gt;=L27-2,F27&lt;=M27+2),OR(F27=L27,F27=L27+5,F27=M27))))))))</f>
        <v xml:space="preserve"> </v>
      </c>
      <c r="V27" s="54" t="str" cm="1">
        <f t="array" ref="V27">IF(C27=" "," ",IF(AND(E27="Connues",AH27&lt;&gt;"",COUNTIFS(AH$6:AH$29,AH27,C$6:C$29,C27)&gt;1),"Doublon",IF(AND(E27="Connues",SUMPRODUCT((E$6:E$29="Connues")*(C$6:C$29=C27)*(ROW($6:$29)&lt;&gt;ROW())*(IFERROR(ABS(G$6:G$29-G27)&lt;=2,FALSE))*((IFERROR(ABS(G$6:G$29-VLOOKUP(C27,'Valeurs Règlement Campagne'!$A$4:$AB$7,17,FALSE))&lt;=2,FALSE))+(IFERROR(ABS(G$6:G$29-VLOOKUP(C27,'Valeurs Règlement Campagne'!$A$4:$AB$7,18,FALSE))&lt;=2,FALSE))+(IFERROR(ABS(G$6:G$29-VLOOKUP(C27,'Valeurs Règlement Campagne'!$A$4:$AB$7,19,FALSE))&lt;=2,FALSE))))&gt;0),"Doublon",IF($C27=" "," ",IF(G27=" "," ",IF(E27="Inconnues",AND(G27&gt;=N27,G27&lt;=O27),IF(AND('Valeurs Règlement Campagne'!$L$14="OUI",E27="Connues"),AND(G27&gt;=N27-2,G27&lt;=O27+2),OR(G27=N27,G27=N27+5,G27=O27))))))))</f>
        <v xml:space="preserve"> </v>
      </c>
      <c r="W27" s="54" t="str" cm="1">
        <f t="array" ref="W27">IF(C27=" "," ",IF(AND(E27="Connues",AE27&lt;&gt;"",COUNTIFS(AE$6:AE$29,AE27,C$6:C$29,C27)&gt;1),"Doublon",IF(AND(E27="Connues",SUMPRODUCT((E$6:E$29="Connues")*(C$6:C$29=C27)*(ROW($6:$29)&lt;&gt;ROW())*(IFERROR(ABS(H$6:H$29-H27)&lt;=2,FALSE))*((IFERROR(ABS(H$6:H$29-VLOOKUP(C27,'Valeurs Règlement Campagne'!$A$4:$AB$7,20,FALSE))&lt;=2,FALSE))+(IFERROR(ABS(H$6:H$29-VLOOKUP(C27,'Valeurs Règlement Campagne'!$A$4:$AB$7,21,FALSE))&lt;=2,FALSE))+(IFERROR(ABS(H$6:H$29-VLOOKUP(C27,'Valeurs Règlement Campagne'!$A$4:$AB$7,22,FALSE))&lt;=2,FALSE))))&gt;0),"Doublon",IF($C27=" "," ",IF(H27=" "," ",IF(E27="Inconnues",AND(H27&gt;=P27,H27&lt;=Q27),IF(AND('Valeurs Règlement Campagne'!$L$14="OUI",E27="Connues"),AND(H27&gt;=P27-2,H27&lt;=Q27+2),OR(H27=P27,H27=P27+5,H27=P27))))))))</f>
        <v xml:space="preserve"> </v>
      </c>
      <c r="X27" s="54" t="str" cm="1">
        <f t="array" ref="X27">IF(C27=" "," ",IF(AND(E27="Connues",AH27&lt;&gt;"",COUNTIFS(AH$6:AH$29,AH27,C$6:C$29,C27)&gt;1),"Doublon",IF(AND(E27="Connues",SUMPRODUCT((E$6:E$29="Connues")*(C$6:C$29=C27)*(ROW($6:$29)&lt;&gt;ROW())*(IFERROR(ABS(I$6:I$29-I27)&lt;=2,FALSE))*((IFERROR(ABS(I$6:I$29-VLOOKUP(C27,'Valeurs Règlement Campagne'!$A$4:$AB$7,23,FALSE))&lt;=2,FALSE))+(IFERROR(ABS(I$6:I$29-VLOOKUP(C27,'Valeurs Règlement Campagne'!$A$4:$AB$7,24,FALSE))&lt;=2,FALSE))+(IFERROR(ABS(I$6:I$29-VLOOKUP(C27,'Valeurs Règlement Campagne'!$A$4:$AB$7,25,FALSE))&lt;=2,FALSE))))&gt;0),"Doublon",IF($C27=" "," ",IF(I27=" "," ",IF(E27="Inconnues",AND(I27&gt;=P27,I27&lt;=R27),IF(AND('Valeurs Règlement Campagne'!$L$14="OUI",E27="Connues"),AND(I27&gt;=P27-2,I27&lt;=R27+2),OR(I27=P27,I27=P27+5,I27=P27))))))))</f>
        <v xml:space="preserve"> </v>
      </c>
      <c r="Y27" s="322" t="str" cm="1">
        <f t="array" ref="Y27">IF(C27=" "," ",IF(AND(E27="Connues",AH27&lt;&gt;"",COUNTIFS(AH$6:AH$29,AH27,C$6:C$29,C27)&gt;1),"Doublon",IF(AND(E27="Connues",SUMPRODUCT((E$6:E$29="Connues")*(C$6:C$29=C27)*(ROW($6:$29)&lt;&gt;ROW())*(IFERROR(ABS(J$6:J$29-J27)&lt;=2,FALSE))*((IFERROR(ABS(J$6:J$29-VLOOKUP(C27,'Valeurs Règlement Campagne'!$A$4:$AB$7,26,FALSE))&lt;=2,FALSE))+(IFERROR(ABS(J$6:J$29-VLOOKUP(C27,'Valeurs Règlement Campagne'!$A$4:$AB$7,27,FALSE))&lt;=2,FALSE))+(IFERROR(ABS(J$6:J$29-VLOOKUP(C27,'Valeurs Règlement Campagne'!$A$4:$AB$7,28,FALSE))&lt;=2,FALSE))))&gt;0),"Doublon",IF($C27=" "," ",IF(J27=" "," ",IF(E27="Inconnues",AND(J27&gt;=S27,J27&lt;=T27),IF(AND('Valeurs Règlement Campagne'!$L$14="OUI",E27="Connues"),AND(J27&gt;=S27-2,J27&lt;=T27+2),OR(J27=S27,J27=S27+5,J27=S27))))))))</f>
        <v xml:space="preserve"> </v>
      </c>
      <c r="Z27" s="320" t="str">
        <f t="shared" si="0"/>
        <v xml:space="preserve"> </v>
      </c>
      <c r="AA27" s="233"/>
      <c r="AB27" s="233" t="str">
        <f t="shared" si="1"/>
        <v xml:space="preserve"> </v>
      </c>
      <c r="AC27" s="233"/>
      <c r="AD27" s="233" t="str">
        <f t="shared" si="2"/>
        <v xml:space="preserve"> </v>
      </c>
      <c r="AE27" s="233"/>
      <c r="AF27" s="233" t="str">
        <f t="shared" si="3"/>
        <v xml:space="preserve"> </v>
      </c>
      <c r="AG27" s="234"/>
      <c r="AH27" s="55" t="str">
        <f t="shared" si="4"/>
        <v/>
      </c>
    </row>
    <row r="28" spans="1:213" ht="20.75" customHeight="1">
      <c r="A28" s="130">
        <v>23</v>
      </c>
      <c r="B28" s="133" t="str">
        <f>IF(NOT(ISBLANK(Organisateur!B28)),Organisateur!B28," ")</f>
        <v xml:space="preserve"> </v>
      </c>
      <c r="C28" s="269" t="str">
        <f>IF(NOT(ISBLANK(Organisateur!C28)),Organisateur!C28," ")</f>
        <v xml:space="preserve"> </v>
      </c>
      <c r="D28" s="269"/>
      <c r="E28" s="127" t="str">
        <f>IF(NOT(ISBLANK(Organisateur!E28)),Organisateur!E28," ")</f>
        <v xml:space="preserve"> </v>
      </c>
      <c r="F28" s="115" t="str">
        <f>IF(NOT(ISBLANK(Organisateur!F28)),Organisateur!F28," ")</f>
        <v xml:space="preserve"> </v>
      </c>
      <c r="G28" s="115" t="str">
        <f>IF(NOT(ISBLANK(Organisateur!G28)),Organisateur!G28," ")</f>
        <v xml:space="preserve"> </v>
      </c>
      <c r="H28" s="115" t="str">
        <f>IF(NOT(ISBLANK(Organisateur!H28)),Organisateur!H28," ")</f>
        <v xml:space="preserve"> </v>
      </c>
      <c r="I28" s="115" t="str">
        <f>IF(NOT(ISBLANK(Organisateur!I28)),Organisateur!I28," ")</f>
        <v xml:space="preserve"> </v>
      </c>
      <c r="J28" s="115" t="str">
        <f>IF(NOT(ISBLANK(Organisateur!J28)),Organisateur!J28," ")</f>
        <v xml:space="preserve"> </v>
      </c>
      <c r="K28" s="45"/>
      <c r="L28" s="46" t="str">
        <f>IF($E28=" "," ",IF($E28=$D$31,VLOOKUP($C28,'Valeurs Règlement Campagne'!$A$4:$AB$7,14,FALSE),VLOOKUP($C28,'Valeurs Règlement Campagne'!$A$4:$M$7,4,FALSE)))</f>
        <v xml:space="preserve"> </v>
      </c>
      <c r="M28" s="47" t="str">
        <f>IF($E28=" "," ",IF($E28=$D$31,VLOOKUP($C28,'Valeurs Règlement Campagne'!$A$4:$AB$7,16,FALSE),VLOOKUP($C28,'Valeurs Règlement Campagne'!$A$4:$AB$7,5,FALSE)))</f>
        <v xml:space="preserve"> </v>
      </c>
      <c r="N28" s="46" t="str">
        <f>IF($E28=" "," ",IF($E28=$D$31,VLOOKUP($C28,'Valeurs Règlement Campagne'!$A$4:$AB$7,17,FALSE),VLOOKUP($C28,'Valeurs Règlement Campagne'!$A$4:$AB$7,6,FALSE)))</f>
        <v xml:space="preserve"> </v>
      </c>
      <c r="O28" s="48" t="str">
        <f>IF($E28=" "," ",IF($E28=$D$31,VLOOKUP($C28,'Valeurs Règlement Campagne'!$A$4:$AB$7,19,FALSE),VLOOKUP($C28,'Valeurs Règlement Campagne'!$A$4:$AB$7,7,FALSE)))</f>
        <v xml:space="preserve"> </v>
      </c>
      <c r="P28" s="49" t="str">
        <f>IF($E28=" "," ",IF($E28=$D$31,VLOOKUP($C28,'Valeurs Règlement Campagne'!$A$4:$AB$7,20,FALSE),VLOOKUP($C28,'Valeurs Règlement Campagne'!$A$4:$AB$7,8,FALSE)))</f>
        <v xml:space="preserve"> </v>
      </c>
      <c r="Q28" s="48" t="str">
        <f>IF($E28=" "," ",IF($E28=$D$31,VLOOKUP($C28,'Valeurs Règlement Campagne'!$A$4:$AB$7,22,FALSE),VLOOKUP($C28,'Valeurs Règlement Campagne'!$A$4:$AB$7,9,FALSE)))</f>
        <v xml:space="preserve"> </v>
      </c>
      <c r="R28" s="52" t="str">
        <f>IF($E28=" "," ",IF($E28=$D$31,VLOOKUP($C28,'Valeurs Règlement Campagne'!$A$4:$AB$7,25,FALSE),VLOOKUP($C28,'Valeurs Règlement Campagne'!$A$4:$AB$7,11,FALSE)))</f>
        <v xml:space="preserve"> </v>
      </c>
      <c r="S28" s="46" t="str">
        <f>IF($E28=" "," ",IF($E28=$D$31,VLOOKUP($C28,'Valeurs Règlement Campagne'!$A$4:$AB$7,26,FALSE),VLOOKUP($C28,'Valeurs Règlement Campagne'!$A$4:$AB$7,12,FALSE)))</f>
        <v xml:space="preserve"> </v>
      </c>
      <c r="T28" s="47" t="str">
        <f>IF($E28=" "," ",IF($E28=$D$31,VLOOKUP($C28,'Valeurs Règlement Campagne'!$A$4:$AB$7,28,FALSE),VLOOKUP($C28,'Valeurs Règlement Campagne'!$A$4:$AB$7,13,FALSE)))</f>
        <v xml:space="preserve"> </v>
      </c>
      <c r="U28" s="53" t="str" cm="1">
        <f t="array" ref="U28">IF(C28=" "," ",IF(AND(E28="Connues",AH28&lt;&gt;"",COUNTIFS(AH$6:AH$29,AH28,C$6:C$29,C28)&gt;1),"Doublon",IF(AND(E28="Connues",SUMPRODUCT((E$6:E$29="Connues")*(C$6:C$29=C28)*(ROW($6:$29)&lt;&gt;ROW())*(IFERROR(ABS(F$6:F$29-F28)&lt;=2,FALSE))*((IFERROR(ABS(F$6:F$29-VLOOKUP(C28,'Valeurs Règlement Campagne'!$A$4:$AB$7,14,FALSE))&lt;=2,FALSE))+(IFERROR(ABS(F$6:F$29-VLOOKUP(C28,'Valeurs Règlement Campagne'!$A$4:$AB$7,15,FALSE))&lt;=2,FALSE))+(IFERROR(ABS(F$6:F$29-VLOOKUP(C28,'Valeurs Règlement Campagne'!$A$4:$AB$7,16,FALSE))&lt;=2,FALSE))))&gt;0),"Doublon",IF($C28=" "," ",IF(F28=" "," ",IF(E28="Inconnues",AND(F28&gt;=L28,F28&lt;=M28),IF(AND('Valeurs Règlement Campagne'!$L$14="OUI",E28="Connues"),AND(F28&gt;=L28-2,F28&lt;=M28+2),OR(F28=L28,F28=L28+5,F28=M28))))))))</f>
        <v xml:space="preserve"> </v>
      </c>
      <c r="V28" s="54" t="str" cm="1">
        <f t="array" ref="V28">IF(C28=" "," ",IF(AND(E28="Connues",AH28&lt;&gt;"",COUNTIFS(AH$6:AH$29,AH28,C$6:C$29,C28)&gt;1),"Doublon",IF(AND(E28="Connues",SUMPRODUCT((E$6:E$29="Connues")*(C$6:C$29=C28)*(ROW($6:$29)&lt;&gt;ROW())*(IFERROR(ABS(G$6:G$29-G28)&lt;=2,FALSE))*((IFERROR(ABS(G$6:G$29-VLOOKUP(C28,'Valeurs Règlement Campagne'!$A$4:$AB$7,17,FALSE))&lt;=2,FALSE))+(IFERROR(ABS(G$6:G$29-VLOOKUP(C28,'Valeurs Règlement Campagne'!$A$4:$AB$7,18,FALSE))&lt;=2,FALSE))+(IFERROR(ABS(G$6:G$29-VLOOKUP(C28,'Valeurs Règlement Campagne'!$A$4:$AB$7,19,FALSE))&lt;=2,FALSE))))&gt;0),"Doublon",IF($C28=" "," ",IF(G28=" "," ",IF(E28="Inconnues",AND(G28&gt;=N28,G28&lt;=O28),IF(AND('Valeurs Règlement Campagne'!$L$14="OUI",E28="Connues"),AND(G28&gt;=N28-2,G28&lt;=O28+2),OR(G28=N28,G28=N28+5,G28=O28))))))))</f>
        <v xml:space="preserve"> </v>
      </c>
      <c r="W28" s="54" t="str" cm="1">
        <f t="array" ref="W28">IF(C28=" "," ",IF(AND(E28="Connues",AE28&lt;&gt;"",COUNTIFS(AE$6:AE$29,AE28,C$6:C$29,C28)&gt;1),"Doublon",IF(AND(E28="Connues",SUMPRODUCT((E$6:E$29="Connues")*(C$6:C$29=C28)*(ROW($6:$29)&lt;&gt;ROW())*(IFERROR(ABS(H$6:H$29-H28)&lt;=2,FALSE))*((IFERROR(ABS(H$6:H$29-VLOOKUP(C28,'Valeurs Règlement Campagne'!$A$4:$AB$7,20,FALSE))&lt;=2,FALSE))+(IFERROR(ABS(H$6:H$29-VLOOKUP(C28,'Valeurs Règlement Campagne'!$A$4:$AB$7,21,FALSE))&lt;=2,FALSE))+(IFERROR(ABS(H$6:H$29-VLOOKUP(C28,'Valeurs Règlement Campagne'!$A$4:$AB$7,22,FALSE))&lt;=2,FALSE))))&gt;0),"Doublon",IF($C28=" "," ",IF(H28=" "," ",IF(E28="Inconnues",AND(H28&gt;=P28,H28&lt;=Q28),IF(AND('Valeurs Règlement Campagne'!$L$14="OUI",E28="Connues"),AND(H28&gt;=P28-2,H28&lt;=Q28+2),OR(H28=P28,H28=P28+5,H28=P28))))))))</f>
        <v xml:space="preserve"> </v>
      </c>
      <c r="X28" s="54" t="str" cm="1">
        <f t="array" ref="X28">IF(C28=" "," ",IF(AND(E28="Connues",AH28&lt;&gt;"",COUNTIFS(AH$6:AH$29,AH28,C$6:C$29,C28)&gt;1),"Doublon",IF(AND(E28="Connues",SUMPRODUCT((E$6:E$29="Connues")*(C$6:C$29=C28)*(ROW($6:$29)&lt;&gt;ROW())*(IFERROR(ABS(I$6:I$29-I28)&lt;=2,FALSE))*((IFERROR(ABS(I$6:I$29-VLOOKUP(C28,'Valeurs Règlement Campagne'!$A$4:$AB$7,23,FALSE))&lt;=2,FALSE))+(IFERROR(ABS(I$6:I$29-VLOOKUP(C28,'Valeurs Règlement Campagne'!$A$4:$AB$7,24,FALSE))&lt;=2,FALSE))+(IFERROR(ABS(I$6:I$29-VLOOKUP(C28,'Valeurs Règlement Campagne'!$A$4:$AB$7,25,FALSE))&lt;=2,FALSE))))&gt;0),"Doublon",IF($C28=" "," ",IF(I28=" "," ",IF(E28="Inconnues",AND(I28&gt;=P28,I28&lt;=R28),IF(AND('Valeurs Règlement Campagne'!$L$14="OUI",E28="Connues"),AND(I28&gt;=P28-2,I28&lt;=R28+2),OR(I28=P28,I28=P28+5,I28=P28))))))))</f>
        <v xml:space="preserve"> </v>
      </c>
      <c r="Y28" s="322" t="str" cm="1">
        <f t="array" ref="Y28">IF(C28=" "," ",IF(AND(E28="Connues",AH28&lt;&gt;"",COUNTIFS(AH$6:AH$29,AH28,C$6:C$29,C28)&gt;1),"Doublon",IF(AND(E28="Connues",SUMPRODUCT((E$6:E$29="Connues")*(C$6:C$29=C28)*(ROW($6:$29)&lt;&gt;ROW())*(IFERROR(ABS(J$6:J$29-J28)&lt;=2,FALSE))*((IFERROR(ABS(J$6:J$29-VLOOKUP(C28,'Valeurs Règlement Campagne'!$A$4:$AB$7,26,FALSE))&lt;=2,FALSE))+(IFERROR(ABS(J$6:J$29-VLOOKUP(C28,'Valeurs Règlement Campagne'!$A$4:$AB$7,27,FALSE))&lt;=2,FALSE))+(IFERROR(ABS(J$6:J$29-VLOOKUP(C28,'Valeurs Règlement Campagne'!$A$4:$AB$7,28,FALSE))&lt;=2,FALSE))))&gt;0),"Doublon",IF($C28=" "," ",IF(J28=" "," ",IF(E28="Inconnues",AND(J28&gt;=S28,J28&lt;=T28),IF(AND('Valeurs Règlement Campagne'!$L$14="OUI",E28="Connues"),AND(J28&gt;=S28-2,J28&lt;=T28+2),OR(J28=S28,J28=S28+5,J28=S28))))))))</f>
        <v xml:space="preserve"> </v>
      </c>
      <c r="Z28" s="320" t="str">
        <f t="shared" si="0"/>
        <v xml:space="preserve"> </v>
      </c>
      <c r="AA28" s="233"/>
      <c r="AB28" s="233" t="str">
        <f t="shared" si="1"/>
        <v xml:space="preserve"> </v>
      </c>
      <c r="AC28" s="233"/>
      <c r="AD28" s="233" t="str">
        <f t="shared" si="2"/>
        <v xml:space="preserve"> </v>
      </c>
      <c r="AE28" s="233"/>
      <c r="AF28" s="233" t="str">
        <f t="shared" si="3"/>
        <v xml:space="preserve"> </v>
      </c>
      <c r="AG28" s="234"/>
      <c r="AH28" s="55" t="str">
        <f t="shared" si="4"/>
        <v/>
      </c>
    </row>
    <row r="29" spans="1:213" ht="20.75" customHeight="1" thickBot="1">
      <c r="A29" s="131">
        <v>24</v>
      </c>
      <c r="B29" s="134" t="str">
        <f>IF(NOT(ISBLANK(Organisateur!B29)),Organisateur!B29," ")</f>
        <v xml:space="preserve"> </v>
      </c>
      <c r="C29" s="270" t="str">
        <f>IF(NOT(ISBLANK(Organisateur!C29)),Organisateur!C29," ")</f>
        <v xml:space="preserve"> </v>
      </c>
      <c r="D29" s="270"/>
      <c r="E29" s="128" t="str">
        <f>IF(NOT(ISBLANK(Organisateur!E29)),Organisateur!E29," ")</f>
        <v xml:space="preserve"> </v>
      </c>
      <c r="F29" s="116" t="str">
        <f>IF(NOT(ISBLANK(Organisateur!F29)),Organisateur!F29," ")</f>
        <v xml:space="preserve"> </v>
      </c>
      <c r="G29" s="116" t="str">
        <f>IF(NOT(ISBLANK(Organisateur!G29)),Organisateur!G29," ")</f>
        <v xml:space="preserve"> </v>
      </c>
      <c r="H29" s="116" t="str">
        <f>IF(NOT(ISBLANK(Organisateur!H29)),Organisateur!H29," ")</f>
        <v xml:space="preserve"> </v>
      </c>
      <c r="I29" s="116" t="str">
        <f>IF(NOT(ISBLANK(Organisateur!I29)),Organisateur!I29," ")</f>
        <v xml:space="preserve"> </v>
      </c>
      <c r="J29" s="116" t="str">
        <f>IF(NOT(ISBLANK(Organisateur!J29)),Organisateur!J29," ")</f>
        <v xml:space="preserve"> </v>
      </c>
      <c r="K29" s="45"/>
      <c r="L29" s="40" t="str">
        <f>IF($E29=" "," ",IF($E29=$D$31,VLOOKUP($C29,'Valeurs Règlement Campagne'!$A$4:$AB$7,14,FALSE),VLOOKUP($C29,'Valeurs Règlement Campagne'!$A$4:$M$7,4,FALSE)))</f>
        <v xml:space="preserve"> </v>
      </c>
      <c r="M29" s="41" t="str">
        <f>IF($E29=" "," ",IF($E29=$D$31,VLOOKUP($C29,'Valeurs Règlement Campagne'!$A$4:$AB$7,16,FALSE),VLOOKUP($C29,'Valeurs Règlement Campagne'!$A$4:$AB$7,5,FALSE)))</f>
        <v xml:space="preserve"> </v>
      </c>
      <c r="N29" s="40" t="str">
        <f>IF($E29=" "," ",IF($E29=$D$31,VLOOKUP($C29,'Valeurs Règlement Campagne'!$A$4:$AB$7,17,FALSE),VLOOKUP($C29,'Valeurs Règlement Campagne'!$A$4:$AB$7,6,FALSE)))</f>
        <v xml:space="preserve"> </v>
      </c>
      <c r="O29" s="42" t="str">
        <f>IF($E29=" "," ",IF($E29=$D$31,VLOOKUP($C29,'Valeurs Règlement Campagne'!$A$4:$AB$7,19,FALSE),VLOOKUP($C29,'Valeurs Règlement Campagne'!$A$4:$AB$7,7,FALSE)))</f>
        <v xml:space="preserve"> </v>
      </c>
      <c r="P29" s="43" t="str">
        <f>IF($E29=" "," ",IF($E29=$D$31,VLOOKUP($C29,'Valeurs Règlement Campagne'!$A$4:$AB$7,20,FALSE),VLOOKUP($C29,'Valeurs Règlement Campagne'!$A$4:$AB$7,8,FALSE)))</f>
        <v xml:space="preserve"> </v>
      </c>
      <c r="Q29" s="42" t="str">
        <f>IF($E29=" "," ",IF($E29=$D$31,VLOOKUP($C29,'Valeurs Règlement Campagne'!$A$4:$AB$7,22,FALSE),VLOOKUP($C29,'Valeurs Règlement Campagne'!$A$4:$AB$7,9,FALSE)))</f>
        <v xml:space="preserve"> </v>
      </c>
      <c r="R29" s="56" t="str">
        <f>IF($E29=" "," ",IF($E29=$D$31,VLOOKUP($C29,'Valeurs Règlement Campagne'!$A$4:$AB$7,25,FALSE),VLOOKUP($C29,'Valeurs Règlement Campagne'!$A$4:$AB$7,11,FALSE)))</f>
        <v xml:space="preserve"> </v>
      </c>
      <c r="S29" s="40" t="str">
        <f>IF($E29=" "," ",IF($E29=$D$31,VLOOKUP($C29,'Valeurs Règlement Campagne'!$A$4:$AB$7,26,FALSE),VLOOKUP($C29,'Valeurs Règlement Campagne'!$A$4:$AB$7,12,FALSE)))</f>
        <v xml:space="preserve"> </v>
      </c>
      <c r="T29" s="41" t="str">
        <f>IF($E29=" "," ",IF($E29=$D$31,VLOOKUP($C29,'Valeurs Règlement Campagne'!$A$4:$AB$7,28,FALSE),VLOOKUP($C29,'Valeurs Règlement Campagne'!$A$4:$AB$7,13,FALSE)))</f>
        <v xml:space="preserve"> </v>
      </c>
      <c r="U29" s="57" t="str" cm="1">
        <f t="array" ref="U29">IF(C29=" "," ",IF(AND(E29="Connues",AH29&lt;&gt;"",COUNTIFS(AH$6:AH$29,AH29,C$6:C$29,C29)&gt;1),"Doublon",IF(AND(E29="Connues",SUMPRODUCT((E$6:E$29="Connues")*(C$6:C$29=C29)*(ROW($6:$29)&lt;&gt;ROW())*(IFERROR(ABS(F$6:F$29-F29)&lt;=2,FALSE))*((IFERROR(ABS(F$6:F$29-VLOOKUP(C29,'Valeurs Règlement Campagne'!$A$4:$AB$7,14,FALSE))&lt;=2,FALSE))+(IFERROR(ABS(F$6:F$29-VLOOKUP(C29,'Valeurs Règlement Campagne'!$A$4:$AB$7,15,FALSE))&lt;=2,FALSE))+(IFERROR(ABS(F$6:F$29-VLOOKUP(C29,'Valeurs Règlement Campagne'!$A$4:$AB$7,16,FALSE))&lt;=2,FALSE))))&gt;0),"Doublon",IF($C29=" "," ",IF(F29=" "," ",IF(E29="Inconnues",AND(F29&gt;=L29,F29&lt;=M29),IF(AND('Valeurs Règlement Campagne'!$L$14="OUI",E29="Connues"),AND(F29&gt;=L29-2,F29&lt;=M29+2),OR(F29=L29,F29=L29+5,F29=M29))))))))</f>
        <v xml:space="preserve"> </v>
      </c>
      <c r="V29" s="58" t="str" cm="1">
        <f t="array" ref="V29">IF(C29=" "," ",IF(AND(E29="Connues",AH29&lt;&gt;"",COUNTIFS(AH$6:AH$29,AH29,C$6:C$29,C29)&gt;1),"Doublon",IF(AND(E29="Connues",SUMPRODUCT((E$6:E$29="Connues")*(C$6:C$29=C29)*(ROW($6:$29)&lt;&gt;ROW())*(IFERROR(ABS(G$6:G$29-G29)&lt;=2,FALSE))*((IFERROR(ABS(G$6:G$29-VLOOKUP(C29,'Valeurs Règlement Campagne'!$A$4:$AB$7,17,FALSE))&lt;=2,FALSE))+(IFERROR(ABS(G$6:G$29-VLOOKUP(C29,'Valeurs Règlement Campagne'!$A$4:$AB$7,18,FALSE))&lt;=2,FALSE))+(IFERROR(ABS(G$6:G$29-VLOOKUP(C29,'Valeurs Règlement Campagne'!$A$4:$AB$7,19,FALSE))&lt;=2,FALSE))))&gt;0),"Doublon",IF($C29=" "," ",IF(G29=" "," ",IF(E29="Inconnues",AND(G29&gt;=N29,G29&lt;=O29),IF(AND('Valeurs Règlement Campagne'!$L$14="OUI",E29="Connues"),AND(G29&gt;=N29-2,G29&lt;=O29+2),OR(G29=N29,G29=N29+5,G29=O29))))))))</f>
        <v xml:space="preserve"> </v>
      </c>
      <c r="W29" s="58" t="str" cm="1">
        <f t="array" ref="W29">IF(C29=" "," ",IF(AND(E29="Connues",AE29&lt;&gt;"",COUNTIFS(AE$6:AE$29,AE29,C$6:C$29,C29)&gt;1),"Doublon",IF(AND(E29="Connues",SUMPRODUCT((E$6:E$29="Connues")*(C$6:C$29=C29)*(ROW($6:$29)&lt;&gt;ROW())*(IFERROR(ABS(H$6:H$29-H29)&lt;=2,FALSE))*((IFERROR(ABS(H$6:H$29-VLOOKUP(C29,'Valeurs Règlement Campagne'!$A$4:$AB$7,20,FALSE))&lt;=2,FALSE))+(IFERROR(ABS(H$6:H$29-VLOOKUP(C29,'Valeurs Règlement Campagne'!$A$4:$AB$7,21,FALSE))&lt;=2,FALSE))+(IFERROR(ABS(H$6:H$29-VLOOKUP(C29,'Valeurs Règlement Campagne'!$A$4:$AB$7,22,FALSE))&lt;=2,FALSE))))&gt;0),"Doublon",IF($C29=" "," ",IF(H29=" "," ",IF(E29="Inconnues",AND(H29&gt;=P29,H29&lt;=Q29),IF(AND('Valeurs Règlement Campagne'!$L$14="OUI",E29="Connues"),AND(H29&gt;=P29-2,H29&lt;=Q29+2),OR(H29=P29,H29=P29+5,H29=P29))))))))</f>
        <v xml:space="preserve"> </v>
      </c>
      <c r="X29" s="58" t="str" cm="1">
        <f t="array" ref="X29">IF(C29=" "," ",IF(AND(E29="Connues",AH29&lt;&gt;"",COUNTIFS(AH$6:AH$29,AH29,C$6:C$29,C29)&gt;1),"Doublon",IF(AND(E29="Connues",SUMPRODUCT((E$6:E$29="Connues")*(C$6:C$29=C29)*(ROW($6:$29)&lt;&gt;ROW())*(IFERROR(ABS(I$6:I$29-I29)&lt;=2,FALSE))*((IFERROR(ABS(I$6:I$29-VLOOKUP(C29,'Valeurs Règlement Campagne'!$A$4:$AB$7,23,FALSE))&lt;=2,FALSE))+(IFERROR(ABS(I$6:I$29-VLOOKUP(C29,'Valeurs Règlement Campagne'!$A$4:$AB$7,24,FALSE))&lt;=2,FALSE))+(IFERROR(ABS(I$6:I$29-VLOOKUP(C29,'Valeurs Règlement Campagne'!$A$4:$AB$7,25,FALSE))&lt;=2,FALSE))))&gt;0),"Doublon",IF($C29=" "," ",IF(I29=" "," ",IF(E29="Inconnues",AND(I29&gt;=P29,I29&lt;=R29),IF(AND('Valeurs Règlement Campagne'!$L$14="OUI",E29="Connues"),AND(I29&gt;=P29-2,I29&lt;=R29+2),OR(I29=P29,I29=P29+5,I29=P29))))))))</f>
        <v xml:space="preserve"> </v>
      </c>
      <c r="Y29" s="323" t="str" cm="1">
        <f t="array" ref="Y29">IF(C29=" "," ",IF(AND(E29="Connues",AH29&lt;&gt;"",COUNTIFS(AH$6:AH$29,AH29,C$6:C$29,C29)&gt;1),"Doublon",IF(AND(E29="Connues",SUMPRODUCT((E$6:E$29="Connues")*(C$6:C$29=C29)*(ROW($6:$29)&lt;&gt;ROW())*(IFERROR(ABS(J$6:J$29-J29)&lt;=2,FALSE))*((IFERROR(ABS(J$6:J$29-VLOOKUP(C29,'Valeurs Règlement Campagne'!$A$4:$AB$7,26,FALSE))&lt;=2,FALSE))+(IFERROR(ABS(J$6:J$29-VLOOKUP(C29,'Valeurs Règlement Campagne'!$A$4:$AB$7,27,FALSE))&lt;=2,FALSE))+(IFERROR(ABS(J$6:J$29-VLOOKUP(C29,'Valeurs Règlement Campagne'!$A$4:$AB$7,28,FALSE))&lt;=2,FALSE))))&gt;0),"Doublon",IF($C29=" "," ",IF(J29=" "," ",IF(E29="Inconnues",AND(J29&gt;=S29,J29&lt;=T29),IF(AND('Valeurs Règlement Campagne'!$L$14="OUI",E29="Connues"),AND(J29&gt;=S29-2,J29&lt;=T29+2),OR(J29=S29,J29=S29+5,J29=S29))))))))</f>
        <v xml:space="preserve"> </v>
      </c>
      <c r="Z29" s="321" t="str">
        <f t="shared" si="0"/>
        <v xml:space="preserve"> </v>
      </c>
      <c r="AA29" s="222"/>
      <c r="AB29" s="222" t="str">
        <f t="shared" si="1"/>
        <v xml:space="preserve"> </v>
      </c>
      <c r="AC29" s="222"/>
      <c r="AD29" s="222" t="str">
        <f t="shared" si="2"/>
        <v xml:space="preserve"> </v>
      </c>
      <c r="AE29" s="222"/>
      <c r="AF29" s="222" t="str">
        <f t="shared" si="3"/>
        <v xml:space="preserve"> </v>
      </c>
      <c r="AG29" s="223"/>
      <c r="AH29" s="55" t="str">
        <f t="shared" si="4"/>
        <v/>
      </c>
    </row>
    <row r="30" spans="1:213" ht="19.75" customHeight="1" thickBot="1">
      <c r="A30" s="59"/>
      <c r="B30" s="60"/>
      <c r="C30" s="59"/>
      <c r="F30" s="62"/>
      <c r="G30" s="62"/>
      <c r="H30" s="62"/>
      <c r="I30" s="62"/>
      <c r="J30" s="62"/>
      <c r="K30" s="63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</row>
    <row r="31" spans="1:213" ht="27" customHeight="1" thickBot="1">
      <c r="A31" s="59"/>
      <c r="B31" s="64" t="s">
        <v>15</v>
      </c>
      <c r="C31" s="65" t="str">
        <f>'Valeurs Règlement Campagne'!D8</f>
        <v>Inconnues</v>
      </c>
      <c r="D31" s="66" t="str">
        <f>'Valeurs Règlement Campagne'!N8</f>
        <v>Connues</v>
      </c>
      <c r="E31" s="67" t="s">
        <v>9</v>
      </c>
      <c r="F31" s="25" t="s">
        <v>16</v>
      </c>
      <c r="G31" s="31" t="s">
        <v>16</v>
      </c>
      <c r="H31" s="68" t="s">
        <v>16</v>
      </c>
      <c r="I31" s="62"/>
      <c r="J31" s="6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</row>
    <row r="32" spans="1:213" ht="27.25" customHeight="1" thickBot="1">
      <c r="A32" s="69" t="str">
        <f>'Valeurs Règlement Campagne'!A4</f>
        <v>4 trispots 20 cm</v>
      </c>
      <c r="B32" s="70">
        <f>'Valeurs Règlement Campagne'!B4+'Valeurs Règlement Campagne'!C4</f>
        <v>6</v>
      </c>
      <c r="C32" s="71">
        <f>COUNTIFS($C6:$C29,A32,E6:E29,C31)</f>
        <v>0</v>
      </c>
      <c r="D32" s="72">
        <f>COUNTIFS($C6:$C29,A32,E6:E29,D31)</f>
        <v>0</v>
      </c>
      <c r="E32" s="73" t="str">
        <f>IF(C32=D32,IF(C32+D32=B32,"ok","manque"),"manque")</f>
        <v>manque</v>
      </c>
      <c r="F32" s="74" t="str">
        <f>IFERROR(AVERAGEIF(C6:C29,A32,F6:F29)," ")</f>
        <v xml:space="preserve"> </v>
      </c>
      <c r="G32" s="75" t="str">
        <f>IFERROR(AVERAGEIF(C6:C29,A32,G6:G29)," ")</f>
        <v xml:space="preserve"> </v>
      </c>
      <c r="H32" s="76" t="str">
        <f>IFERROR(AVERAGEIF(C6:C29,A32,H6:H29)," ")</f>
        <v xml:space="preserve"> </v>
      </c>
      <c r="I32" s="62"/>
      <c r="J32" s="62"/>
      <c r="L32" s="22"/>
      <c r="M32" s="22"/>
      <c r="N32" s="22"/>
      <c r="O32" s="22"/>
      <c r="V32" s="224" t="s">
        <v>56</v>
      </c>
      <c r="W32" s="225"/>
      <c r="X32" s="225"/>
      <c r="Y32" s="225"/>
      <c r="Z32" s="225"/>
      <c r="AA32" s="225"/>
      <c r="AB32" s="225"/>
      <c r="AC32" s="225"/>
      <c r="AD32" s="225"/>
      <c r="AE32" s="225"/>
      <c r="AF32" s="226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</row>
    <row r="33" spans="1:213" ht="20.75" customHeight="1" thickBot="1">
      <c r="A33" s="77" t="str">
        <f>'Valeurs Règlement Campagne'!A5</f>
        <v>4 cibles de 40 cm</v>
      </c>
      <c r="B33" s="70">
        <f>'Valeurs Règlement Campagne'!B5+'Valeurs Règlement Campagne'!C5</f>
        <v>6</v>
      </c>
      <c r="C33" s="71">
        <f>COUNTIFS($C6:$C29,A33,E6:E29,C31)</f>
        <v>0</v>
      </c>
      <c r="D33" s="78">
        <f>COUNTIFS($C6:$C29,A33,E6:E29,D31)</f>
        <v>0</v>
      </c>
      <c r="E33" s="79" t="str">
        <f t="shared" ref="E33:E35" si="5">IF(C33=D33,IF(C33+D33=B33,"ok","manque"),"manque")</f>
        <v>manque</v>
      </c>
      <c r="F33" s="80" t="str">
        <f>IFERROR(AVERAGEIF($C6:$C29,A33,F6:F29)," ")</f>
        <v xml:space="preserve"> </v>
      </c>
      <c r="G33" s="81" t="str">
        <f>IFERROR(AVERAGEIF($C6:$C29,A33,G6:G29)," ")</f>
        <v xml:space="preserve"> </v>
      </c>
      <c r="H33" s="82" t="str">
        <f>IFERROR(AVERAGEIF($C6:$C29,A33,H6:H29)," ")</f>
        <v xml:space="preserve"> </v>
      </c>
      <c r="I33" s="62"/>
      <c r="J33" s="62"/>
      <c r="L33" s="22"/>
      <c r="M33" s="22"/>
      <c r="N33" s="22"/>
      <c r="O33" s="22"/>
      <c r="V33" s="227"/>
      <c r="W33" s="228"/>
      <c r="X33" s="228"/>
      <c r="Y33" s="228"/>
      <c r="Z33" s="228"/>
      <c r="AA33" s="228"/>
      <c r="AB33" s="228"/>
      <c r="AC33" s="228"/>
      <c r="AD33" s="228"/>
      <c r="AE33" s="228"/>
      <c r="AF33" s="229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</row>
    <row r="34" spans="1:213" ht="20.75" customHeight="1" thickBot="1">
      <c r="A34" s="69" t="str">
        <f>'Valeurs Règlement Campagne'!A6</f>
        <v>1 cible de 60 cm</v>
      </c>
      <c r="B34" s="70">
        <f>'Valeurs Règlement Campagne'!B6+'Valeurs Règlement Campagne'!C6</f>
        <v>6</v>
      </c>
      <c r="C34" s="71">
        <f>COUNTIFS($C6:$C29,A34,E6:E29,C31)</f>
        <v>0</v>
      </c>
      <c r="D34" s="72">
        <f>COUNTIFS($C6:$C29,A34,E6:E29,D31)</f>
        <v>0</v>
      </c>
      <c r="E34" s="79" t="str">
        <f t="shared" si="5"/>
        <v>manque</v>
      </c>
      <c r="F34" s="74" t="str">
        <f>IFERROR(AVERAGEIF($C6:$C29,A34,F6:F29)," ")</f>
        <v xml:space="preserve"> </v>
      </c>
      <c r="G34" s="75" t="str">
        <f>IFERROR(AVERAGEIF($C6:$C29,A34,G6:G29)," ")</f>
        <v xml:space="preserve"> </v>
      </c>
      <c r="H34" s="76" t="str">
        <f>IFERROR(AVERAGEIF($C6:$C29,A34,H6:H29)," ")</f>
        <v xml:space="preserve"> </v>
      </c>
      <c r="I34" s="62"/>
      <c r="J34" s="62"/>
      <c r="L34" s="22"/>
      <c r="M34" s="22"/>
      <c r="N34" s="22"/>
      <c r="O34" s="22"/>
      <c r="V34" s="230"/>
      <c r="W34" s="231"/>
      <c r="X34" s="231"/>
      <c r="Y34" s="231"/>
      <c r="Z34" s="231"/>
      <c r="AA34" s="231"/>
      <c r="AB34" s="231"/>
      <c r="AC34" s="231"/>
      <c r="AD34" s="231"/>
      <c r="AE34" s="231"/>
      <c r="AF34" s="232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</row>
    <row r="35" spans="1:213" ht="20.75" customHeight="1" thickBot="1">
      <c r="A35" s="83" t="str">
        <f>'Valeurs Règlement Campagne'!A7</f>
        <v>1 cible de 80 cm</v>
      </c>
      <c r="B35" s="70">
        <f>'Valeurs Règlement Campagne'!B7+'Valeurs Règlement Campagne'!C7</f>
        <v>6</v>
      </c>
      <c r="C35" s="71">
        <f>COUNTIFS($C6:$C29,A35,E6:E29,C31)</f>
        <v>0</v>
      </c>
      <c r="D35" s="84">
        <f>COUNTIFS($C6:$C29,A35,E6:E29,D31)</f>
        <v>0</v>
      </c>
      <c r="E35" s="85" t="str">
        <f t="shared" si="5"/>
        <v>manque</v>
      </c>
      <c r="F35" s="86" t="str">
        <f>IFERROR(AVERAGEIF($C6:$C29,A35,F6:F29)," ")</f>
        <v xml:space="preserve"> </v>
      </c>
      <c r="G35" s="87" t="str">
        <f>IFERROR(AVERAGEIF($C6:$C29,A35,G6:G29)," ")</f>
        <v xml:space="preserve"> </v>
      </c>
      <c r="H35" s="88" t="str">
        <f>IFERROR(AVERAGEIF($C6:$C29,A35,H6:H29)," ")</f>
        <v xml:space="preserve"> </v>
      </c>
      <c r="I35" s="62"/>
      <c r="J35" s="6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</row>
    <row r="36" spans="1:213" ht="20.75" customHeight="1" thickBot="1">
      <c r="A36" s="89"/>
      <c r="B36" s="90">
        <f>SUM(B32:B35)</f>
        <v>24</v>
      </c>
      <c r="C36" s="90">
        <f>SUM(C32:C35)</f>
        <v>0</v>
      </c>
      <c r="D36" s="90">
        <f>SUM(D32:D35)</f>
        <v>0</v>
      </c>
      <c r="F36" s="25" t="s">
        <v>8</v>
      </c>
      <c r="G36" s="31" t="s">
        <v>8</v>
      </c>
      <c r="H36" s="68" t="s">
        <v>8</v>
      </c>
      <c r="I36" s="62"/>
      <c r="J36" s="6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</row>
    <row r="37" spans="1:213" ht="20" customHeight="1" thickBot="1">
      <c r="C37" s="61"/>
      <c r="E37" s="67" t="s">
        <v>40</v>
      </c>
      <c r="F37" s="74">
        <f>SUM(F6:F29)</f>
        <v>0</v>
      </c>
      <c r="G37" s="75">
        <f>SUM(G6:G29)</f>
        <v>0</v>
      </c>
      <c r="H37" s="76">
        <f>SUM(H6:H29)</f>
        <v>0</v>
      </c>
      <c r="I37" s="62"/>
      <c r="J37" s="62"/>
    </row>
    <row r="38" spans="1:213" ht="20" customHeight="1" thickBot="1">
      <c r="A38" s="91" t="s">
        <v>50</v>
      </c>
      <c r="B38" s="139" t="str">
        <f>IF('Valeurs Règlement Campagne'!$L$14="OUI","Active","Inactive")</f>
        <v>Active</v>
      </c>
      <c r="C38" s="140"/>
      <c r="E38" s="92" t="s">
        <v>23</v>
      </c>
      <c r="F38" s="74">
        <f>SUMIF(E6:E29, "Inconnues", F6:F29)</f>
        <v>0</v>
      </c>
      <c r="G38" s="75">
        <f>SUMIF(E6:E29, "Inconnues", G6:G29)</f>
        <v>0</v>
      </c>
      <c r="H38" s="76">
        <f>SUMIF(E6:E29, "Inconnues", H6:H29)</f>
        <v>0</v>
      </c>
      <c r="I38" s="62"/>
      <c r="J38" s="62"/>
    </row>
    <row r="39" spans="1:213" ht="24" customHeight="1" thickBot="1">
      <c r="B39" s="271" t="s">
        <v>41</v>
      </c>
      <c r="C39" s="272"/>
      <c r="D39" s="138">
        <f>'Valeurs Règlement Campagne'!D10</f>
        <v>300</v>
      </c>
      <c r="E39" s="94">
        <f>'Valeurs Règlement Campagne'!E10</f>
        <v>330</v>
      </c>
      <c r="F39" s="79" t="str">
        <f>IF(AND(F38&gt;=D39,F38&lt;=E39),"ok","hors fourchette")</f>
        <v>hors fourchette</v>
      </c>
      <c r="I39" s="62"/>
      <c r="J39" s="62"/>
    </row>
    <row r="40" spans="1:213" ht="23" customHeight="1" thickBot="1">
      <c r="B40" s="273" t="s">
        <v>42</v>
      </c>
      <c r="C40" s="274"/>
      <c r="D40" s="138">
        <f>'Valeurs Règlement Campagne'!D11</f>
        <v>220</v>
      </c>
      <c r="E40" s="94">
        <f>'Valeurs Règlement Campagne'!E11</f>
        <v>244</v>
      </c>
      <c r="G40" s="79" t="str">
        <f>IF(AND(G38&gt;=D40,G38&lt;=E40),"ok","hors fourchette")</f>
        <v>hors fourchette</v>
      </c>
      <c r="I40" s="62"/>
      <c r="J40" s="62"/>
    </row>
    <row r="41" spans="1:213" ht="24" customHeight="1" thickBot="1">
      <c r="B41" s="267" t="s">
        <v>49</v>
      </c>
      <c r="C41" s="268"/>
      <c r="D41" s="138">
        <f>'Valeurs Règlement Campagne'!D12</f>
        <v>192</v>
      </c>
      <c r="E41" s="94">
        <f>'Valeurs Règlement Campagne'!E12</f>
        <v>212</v>
      </c>
      <c r="H41" s="79" t="str">
        <f>IF(AND(H38&gt;=D41,H38&lt;=E41),"ok","hors fourchette")</f>
        <v>hors fourchette</v>
      </c>
      <c r="I41" s="62"/>
      <c r="J41" s="62"/>
    </row>
    <row r="42" spans="1:213" ht="20" customHeight="1">
      <c r="I42" s="62"/>
      <c r="J42" s="62"/>
    </row>
    <row r="43" spans="1:213" ht="20" customHeight="1">
      <c r="I43" s="62"/>
      <c r="J43" s="62"/>
    </row>
  </sheetData>
  <sheetProtection sheet="1" selectLockedCells="1"/>
  <mergeCells count="143">
    <mergeCell ref="A1:Y1"/>
    <mergeCell ref="A2:A4"/>
    <mergeCell ref="B2:B4"/>
    <mergeCell ref="C5:D5"/>
    <mergeCell ref="C2:D4"/>
    <mergeCell ref="E2:E4"/>
    <mergeCell ref="Z11:AA11"/>
    <mergeCell ref="Z14:AA14"/>
    <mergeCell ref="Z17:AA17"/>
    <mergeCell ref="C6:D6"/>
    <mergeCell ref="C7:D7"/>
    <mergeCell ref="C8:D8"/>
    <mergeCell ref="C12:D12"/>
    <mergeCell ref="C9:D9"/>
    <mergeCell ref="C26:D26"/>
    <mergeCell ref="C27:D27"/>
    <mergeCell ref="C21:D21"/>
    <mergeCell ref="C17:D17"/>
    <mergeCell ref="C18:D18"/>
    <mergeCell ref="C19:D19"/>
    <mergeCell ref="C20:D20"/>
    <mergeCell ref="B41:C41"/>
    <mergeCell ref="C28:D28"/>
    <mergeCell ref="C29:D29"/>
    <mergeCell ref="C10:D10"/>
    <mergeCell ref="C11:D11"/>
    <mergeCell ref="C13:D13"/>
    <mergeCell ref="B39:C39"/>
    <mergeCell ref="B40:C40"/>
    <mergeCell ref="C14:D14"/>
    <mergeCell ref="C15:D15"/>
    <mergeCell ref="C22:D22"/>
    <mergeCell ref="C23:D23"/>
    <mergeCell ref="C24:D24"/>
    <mergeCell ref="C25:D25"/>
    <mergeCell ref="C16:D16"/>
    <mergeCell ref="F2:J3"/>
    <mergeCell ref="L2:T2"/>
    <mergeCell ref="U2:Y3"/>
    <mergeCell ref="Z2:AG3"/>
    <mergeCell ref="AH2:AH3"/>
    <mergeCell ref="L3:M3"/>
    <mergeCell ref="N3:O3"/>
    <mergeCell ref="P3:Q3"/>
    <mergeCell ref="S3:T3"/>
    <mergeCell ref="Z5:AA5"/>
    <mergeCell ref="AB5:AC5"/>
    <mergeCell ref="AD5:AE5"/>
    <mergeCell ref="AF5:AG5"/>
    <mergeCell ref="Z6:AA6"/>
    <mergeCell ref="AB6:AC6"/>
    <mergeCell ref="AD6:AE6"/>
    <mergeCell ref="AF6:AG6"/>
    <mergeCell ref="Z7:AA7"/>
    <mergeCell ref="AB7:AC7"/>
    <mergeCell ref="AD7:AE7"/>
    <mergeCell ref="AF7:AG7"/>
    <mergeCell ref="Z8:AA8"/>
    <mergeCell ref="AB8:AC8"/>
    <mergeCell ref="AD8:AE8"/>
    <mergeCell ref="AF8:AG8"/>
    <mergeCell ref="Z9:AA9"/>
    <mergeCell ref="AB9:AC9"/>
    <mergeCell ref="AD9:AE9"/>
    <mergeCell ref="AF9:AG9"/>
    <mergeCell ref="Z10:AA10"/>
    <mergeCell ref="AB10:AC10"/>
    <mergeCell ref="AD10:AE10"/>
    <mergeCell ref="AF10:AG10"/>
    <mergeCell ref="AB11:AC11"/>
    <mergeCell ref="AD11:AE11"/>
    <mergeCell ref="AF11:AG11"/>
    <mergeCell ref="Z12:AA12"/>
    <mergeCell ref="AB12:AC12"/>
    <mergeCell ref="AD12:AE12"/>
    <mergeCell ref="AF12:AG12"/>
    <mergeCell ref="Z13:AA13"/>
    <mergeCell ref="AB13:AC13"/>
    <mergeCell ref="AD13:AE13"/>
    <mergeCell ref="AF13:AG13"/>
    <mergeCell ref="AB14:AC14"/>
    <mergeCell ref="AD14:AE14"/>
    <mergeCell ref="AF14:AG14"/>
    <mergeCell ref="Z15:AA15"/>
    <mergeCell ref="AB15:AC15"/>
    <mergeCell ref="AD15:AE15"/>
    <mergeCell ref="AF15:AG15"/>
    <mergeCell ref="Z16:AA16"/>
    <mergeCell ref="AB16:AC16"/>
    <mergeCell ref="AD16:AE16"/>
    <mergeCell ref="AF16:AG16"/>
    <mergeCell ref="AB17:AC17"/>
    <mergeCell ref="AD17:AE17"/>
    <mergeCell ref="AF17:AG17"/>
    <mergeCell ref="Z18:AA18"/>
    <mergeCell ref="AB18:AC18"/>
    <mergeCell ref="AD18:AE18"/>
    <mergeCell ref="AF18:AG18"/>
    <mergeCell ref="Z19:AA19"/>
    <mergeCell ref="AB19:AC19"/>
    <mergeCell ref="AD19:AE19"/>
    <mergeCell ref="AF19:AG19"/>
    <mergeCell ref="AB20:AC20"/>
    <mergeCell ref="AD20:AE20"/>
    <mergeCell ref="AF20:AG20"/>
    <mergeCell ref="Z21:AA21"/>
    <mergeCell ref="AB21:AC21"/>
    <mergeCell ref="AD21:AE21"/>
    <mergeCell ref="AF21:AG21"/>
    <mergeCell ref="Z22:AA22"/>
    <mergeCell ref="AB22:AC22"/>
    <mergeCell ref="AD22:AE22"/>
    <mergeCell ref="AF22:AG22"/>
    <mergeCell ref="Z20:AA20"/>
    <mergeCell ref="AB23:AC23"/>
    <mergeCell ref="AD23:AE23"/>
    <mergeCell ref="AF23:AG23"/>
    <mergeCell ref="Z24:AA24"/>
    <mergeCell ref="AB24:AC24"/>
    <mergeCell ref="AD24:AE24"/>
    <mergeCell ref="AF24:AG24"/>
    <mergeCell ref="Z25:AA25"/>
    <mergeCell ref="AB25:AC25"/>
    <mergeCell ref="AD25:AE25"/>
    <mergeCell ref="AF25:AG25"/>
    <mergeCell ref="Z23:AA23"/>
    <mergeCell ref="AB29:AC29"/>
    <mergeCell ref="AD29:AE29"/>
    <mergeCell ref="AF29:AG29"/>
    <mergeCell ref="V32:AF34"/>
    <mergeCell ref="AB26:AC26"/>
    <mergeCell ref="AD26:AE26"/>
    <mergeCell ref="AF26:AG26"/>
    <mergeCell ref="Z27:AA27"/>
    <mergeCell ref="AB27:AC27"/>
    <mergeCell ref="AD27:AE27"/>
    <mergeCell ref="AF27:AG27"/>
    <mergeCell ref="Z28:AA28"/>
    <mergeCell ref="AB28:AC28"/>
    <mergeCell ref="AD28:AE28"/>
    <mergeCell ref="AF28:AG28"/>
    <mergeCell ref="Z26:AA26"/>
    <mergeCell ref="Z29:AA29"/>
  </mergeCells>
  <conditionalFormatting sqref="B38">
    <cfRule type="expression" dxfId="34" priority="41">
      <formula>$B$38="Inactive"</formula>
    </cfRule>
    <cfRule type="expression" dxfId="33" priority="42">
      <formula>$B$38="active"</formula>
    </cfRule>
  </conditionalFormatting>
  <conditionalFormatting sqref="I5">
    <cfRule type="expression" dxfId="16" priority="39">
      <formula>LEFT(C5,1)="4"</formula>
    </cfRule>
  </conditionalFormatting>
  <conditionalFormatting sqref="U5:Y29">
    <cfRule type="containsText" dxfId="11" priority="7" stopIfTrue="1" operator="containsText" text="Doublon">
      <formula>NOT(ISERROR(SEARCH("Doublon",U5)))</formula>
    </cfRule>
    <cfRule type="containsText" dxfId="10" priority="8" operator="containsText" text="FAUX">
      <formula>NOT(ISERROR(SEARCH("FAUX",U5)))</formula>
    </cfRule>
    <cfRule type="containsText" dxfId="9" priority="9" operator="containsText" text="VRAI">
      <formula>NOT(ISERROR(SEARCH("VRAI",U5)))</formula>
    </cfRule>
  </conditionalFormatting>
  <conditionalFormatting sqref="Z5:Z29 AB5:AB29">
    <cfRule type="containsText" dxfId="8" priority="13" operator="containsText" text="ok">
      <formula>NOT(ISERROR(SEARCH("ok",Z5)))</formula>
    </cfRule>
  </conditionalFormatting>
  <conditionalFormatting sqref="AD5:AD29">
    <cfRule type="containsText" dxfId="6" priority="5" operator="containsText" text="ok">
      <formula>NOT(ISERROR(SEARCH("ok",AD5)))</formula>
    </cfRule>
  </conditionalFormatting>
  <conditionalFormatting sqref="AF5:AF29">
    <cfRule type="containsText" dxfId="4" priority="1" operator="containsText" text="ok">
      <formula>NOT(ISERROR(SEARCH("ok",AF5)))</formula>
    </cfRule>
  </conditionalFormatting>
  <conditionalFormatting sqref="AH5:AH29">
    <cfRule type="expression" dxfId="2" priority="10">
      <formula>$AH5="Obligatoire"</formula>
    </cfRule>
    <cfRule type="expression" dxfId="1" priority="11">
      <formula>$AH5="possible"</formula>
    </cfRule>
    <cfRule type="expression" dxfId="0" priority="12">
      <formula>$AH5="Manque Orange"</formula>
    </cfRule>
  </conditionalFormatting>
  <pageMargins left="1" right="1" top="1" bottom="1" header="0.25" footer="0.25"/>
  <pageSetup scale="52" orientation="landscape" r:id="rId1"/>
  <headerFooter>
    <oddFooter>&amp;C&amp;"Helvetica Neue,Regular"&amp;12&amp;K000000&amp;P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296174CC-BA36-4D44-A5B2-3432F4118ECE}">
            <xm:f>OR(B6=" ",Organisateur!B6="")</xm:f>
            <x14:dxf>
              <font>
                <strike val="0"/>
                <color auto="1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34" id="{C1B77171-AD51-1E41-83EA-D338CCB3793D}">
            <xm:f>AND(B6&lt;&gt;" ",B6&lt;&gt;Organisateur!B6)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B6:E29</xm:sqref>
        </x14:conditionalFormatting>
        <x14:conditionalFormatting xmlns:xm="http://schemas.microsoft.com/office/excel/2006/main">
          <x14:cfRule type="containsText" priority="76" stopIfTrue="1" operator="containsText" id="{646F6508-7965-3644-86BD-429290450A8C}">
            <xm:f>NOT(ISERROR(SEARCH("ok",E32)))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82" operator="notContains" id="{1CD655C6-9CEA-0149-BAC8-3BD756F84D56}">
            <xm:f>ISERROR(SEARCH("ok",E32))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E32:E35</xm:sqref>
        </x14:conditionalFormatting>
        <x14:conditionalFormatting xmlns:xm="http://schemas.microsoft.com/office/excel/2006/main">
          <x14:cfRule type="expression" priority="29" id="{44FFE587-FF5F-E341-95C2-8C1C388864C5}">
            <xm:f>OR($F6=Organisateur!$F6,$F6=" ")</xm:f>
            <x14:dxf>
              <font>
                <b/>
                <i val="0"/>
                <strike val="0"/>
                <color theme="9" tint="-0.24994659260841701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30" stopIfTrue="1" id="{AA0C6E21-2977-AF44-8919-EAE1DB4DCEF9}">
            <xm:f>AND(F6&lt;&gt;" ",F6&lt;&gt;Organisateur!E6)</xm:f>
            <x14:dxf>
              <font>
                <b/>
                <i val="0"/>
                <color rgb="FFC00000"/>
              </font>
              <fill>
                <patternFill>
                  <bgColor theme="6" tint="0.79998168889431442"/>
                </patternFill>
              </fill>
            </x14:dxf>
          </x14:cfRule>
          <xm:sqref>F6:F29</xm:sqref>
        </x14:conditionalFormatting>
        <x14:conditionalFormatting xmlns:xm="http://schemas.microsoft.com/office/excel/2006/main">
          <x14:cfRule type="containsText" priority="60" stopIfTrue="1" operator="containsText" id="{9422666F-6425-5641-BE89-C0380D308790}">
            <xm:f>NOT(ISERROR(SEARCH("ok",F39)))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61" operator="notContains" id="{0CFF8B02-D610-FF48-92E6-07C274E8160C}">
            <xm:f>ISERROR(SEARCH("ok",F39))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F39</xm:sqref>
        </x14:conditionalFormatting>
        <x14:conditionalFormatting xmlns:xm="http://schemas.microsoft.com/office/excel/2006/main">
          <x14:cfRule type="expression" priority="21" id="{07D358D2-BEB9-A74D-844B-CCC3FF3111B8}">
            <xm:f>OR($G6=Organisateur!$G6,$G6=" ")</xm:f>
            <x14:dxf>
              <font>
                <b/>
                <i val="0"/>
                <strike val="0"/>
                <color theme="4" tint="-0.499984740745262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22" stopIfTrue="1" id="{344450E7-6D60-1A40-9796-2459D81F0448}">
            <xm:f>AND(G6&lt;&gt;" ",G6&lt;&gt;Organisateur!G6)</xm:f>
            <x14:dxf>
              <font>
                <b/>
                <i val="0"/>
                <color theme="4" tint="-0.24994659260841701"/>
              </font>
              <fill>
                <patternFill>
                  <bgColor theme="6" tint="0.79998168889431442"/>
                </patternFill>
              </fill>
            </x14:dxf>
          </x14:cfRule>
          <xm:sqref>G6:G29</xm:sqref>
        </x14:conditionalFormatting>
        <x14:conditionalFormatting xmlns:xm="http://schemas.microsoft.com/office/excel/2006/main">
          <x14:cfRule type="containsText" priority="58" stopIfTrue="1" operator="containsText" id="{01B758BA-B0D5-EB49-8D6E-6C16296B380E}">
            <xm:f>NOT(ISERROR(SEARCH("ok",G40)))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59" operator="notContains" id="{3C8296A4-E59F-3B49-8920-C938B7404943}">
            <xm:f>ISERROR(SEARCH("ok",G40))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G40</xm:sqref>
        </x14:conditionalFormatting>
        <x14:conditionalFormatting xmlns:xm="http://schemas.microsoft.com/office/excel/2006/main">
          <x14:cfRule type="expression" priority="19" stopIfTrue="1" id="{29B101ED-7283-D844-B9DD-1965A3A135DE}">
            <xm:f>OR($H6=Organisateur!$H6,$H6=" ")</xm:f>
            <x14:dxf>
              <font>
                <b/>
                <i val="0"/>
                <strike val="0"/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20" id="{63048F2A-8D5F-5D42-9181-5A954961C008}">
            <xm:f>AND(H6&lt;&gt;" ",H6&lt;&gt;Organisateur!H6)</xm:f>
            <x14:dxf>
              <font>
                <b/>
                <i val="0"/>
                <color auto="1"/>
              </font>
              <fill>
                <patternFill>
                  <bgColor theme="6" tint="0.79998168889431442"/>
                </patternFill>
              </fill>
            </x14:dxf>
          </x14:cfRule>
          <xm:sqref>H6:H29</xm:sqref>
        </x14:conditionalFormatting>
        <x14:conditionalFormatting xmlns:xm="http://schemas.microsoft.com/office/excel/2006/main">
          <x14:cfRule type="containsText" priority="56" stopIfTrue="1" operator="containsText" id="{F2D03F2C-66E1-934F-83BA-E9D1750F8931}">
            <xm:f>NOT(ISERROR(SEARCH("ok",H41)))</xm:f>
            <xm:f>"ok"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notContainsText" priority="57" operator="notContains" id="{4B8ADA94-2CBA-564F-880F-B80B55CCF061}">
            <xm:f>ISERROR(SEARCH("ok",H41))</xm:f>
            <xm:f>"ok"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H41</xm:sqref>
        </x14:conditionalFormatting>
        <x14:conditionalFormatting xmlns:xm="http://schemas.microsoft.com/office/excel/2006/main">
          <x14:cfRule type="expression" priority="15" stopIfTrue="1" id="{D1F184F1-A1AD-D543-AACB-51801E10D48E}">
            <xm:f>OR($F6=Organisateur!$F6,$F6=" ")</xm:f>
            <x14:dxf>
              <font>
                <b/>
                <i val="0"/>
                <strike val="0"/>
                <color rgb="FFFFD579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16" id="{C71F3E04-96A9-4047-BCA7-8D4B58561F9B}">
            <xm:f>AND(I6&lt;&gt;" ",I6&lt;&gt;Organisateur!H6)</xm:f>
            <x14:dxf>
              <font>
                <b/>
                <i val="0"/>
                <color rgb="FFFFC000"/>
              </font>
              <fill>
                <patternFill>
                  <bgColor theme="6" tint="0.79998168889431442"/>
                </patternFill>
              </fill>
            </x14:dxf>
          </x14:cfRule>
          <xm:sqref>I6:I29</xm:sqref>
        </x14:conditionalFormatting>
        <x14:conditionalFormatting xmlns:xm="http://schemas.microsoft.com/office/excel/2006/main">
          <x14:cfRule type="expression" priority="17" id="{4C90B5DB-88A9-E745-982B-AC30DB8CC24A}">
            <xm:f>OR($I6=Organisateur!$I6,$I6=" ")</xm:f>
            <x14:dxf>
              <font>
                <b/>
                <i val="0"/>
                <strike val="0"/>
                <color theme="9" tint="0.59996337778862885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18" id="{E1F41834-378B-694E-A7FC-4D5CE1D25563}">
            <xm:f>AND(J6&lt;&gt;" ",J6&lt;&gt;Organisateur!J6)</xm:f>
            <x14:dxf>
              <font>
                <b/>
                <i val="0"/>
                <color theme="9"/>
              </font>
              <fill>
                <patternFill>
                  <bgColor theme="6" tint="0.79998168889431442"/>
                </patternFill>
              </fill>
            </x14:dxf>
          </x14:cfRule>
          <xm:sqref>J6:J29</xm:sqref>
        </x14:conditionalFormatting>
        <x14:conditionalFormatting xmlns:xm="http://schemas.microsoft.com/office/excel/2006/main">
          <x14:cfRule type="containsText" priority="14" operator="containsText" id="{A1E013B2-DD2B-8C4D-A7AD-EF026B5BBA85}">
            <xm:f>NOT(ISERROR(SEARCH("faux",Z5)))</xm:f>
            <xm:f>"faux"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Z5:Z29 AB5:AB29</xm:sqref>
        </x14:conditionalFormatting>
        <x14:conditionalFormatting xmlns:xm="http://schemas.microsoft.com/office/excel/2006/main">
          <x14:cfRule type="containsText" priority="6" operator="containsText" id="{6D36BA0A-1F41-314F-A388-D536F05E8AFD}">
            <xm:f>NOT(ISERROR(SEARCH("faux",AD5)))</xm:f>
            <xm:f>"faux"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AD5:AD29</xm:sqref>
        </x14:conditionalFormatting>
        <x14:conditionalFormatting xmlns:xm="http://schemas.microsoft.com/office/excel/2006/main">
          <x14:cfRule type="containsText" priority="2" operator="containsText" id="{9C5DE43A-8FF6-F543-99E9-558E2238ECD5}">
            <xm:f>NOT(ISERROR(SEARCH("faux",AF5)))</xm:f>
            <xm:f>"faux"</xm:f>
            <x14:dxf>
              <font>
                <color rgb="FF000000"/>
              </font>
              <fill>
                <patternFill patternType="solid">
                  <fgColor indexed="16"/>
                  <bgColor indexed="17"/>
                </patternFill>
              </fill>
            </x14:dxf>
          </x14:cfRule>
          <xm:sqref>AF5:AF29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'Valeurs Règlement Campagne'!$A$4:$A$7</xm:f>
          </x14:formula1>
          <xm:sqref>C5:C29</xm:sqref>
        </x14:dataValidation>
        <x14:dataValidation type="list" allowBlank="1" showInputMessage="1" showErrorMessage="1" xr:uid="{00000000-0002-0000-0000-000002000000}">
          <x14:formula1>
            <xm:f>'Valeurs Règlement Campagne'!$B$3:$C$3</xm:f>
          </x14:formula1>
          <xm:sqref>E5:E29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4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M19" sqref="M19"/>
    </sheetView>
  </sheetViews>
  <sheetFormatPr baseColWidth="10" defaultColWidth="16.33203125" defaultRowHeight="20" customHeight="1"/>
  <cols>
    <col min="1" max="1" width="16.33203125" style="1" customWidth="1"/>
    <col min="2" max="2" width="9.33203125" style="1" bestFit="1" customWidth="1"/>
    <col min="3" max="3" width="12.6640625" style="1" bestFit="1" customWidth="1"/>
    <col min="4" max="5" width="6.33203125" style="1" bestFit="1" customWidth="1"/>
    <col min="6" max="6" width="4.83203125" style="1" bestFit="1" customWidth="1"/>
    <col min="7" max="7" width="5.1640625" style="1" bestFit="1" customWidth="1"/>
    <col min="8" max="9" width="5.6640625" style="1" bestFit="1" customWidth="1"/>
    <col min="10" max="11" width="7.1640625" style="1" bestFit="1" customWidth="1"/>
    <col min="12" max="13" width="7.1640625" style="1" customWidth="1"/>
    <col min="14" max="16" width="6.33203125" style="1" bestFit="1" customWidth="1"/>
    <col min="17" max="19" width="4.6640625" style="1" bestFit="1" customWidth="1"/>
    <col min="20" max="22" width="5.6640625" style="1" bestFit="1" customWidth="1"/>
    <col min="23" max="24" width="7.1640625" style="1" bestFit="1" customWidth="1"/>
    <col min="25" max="25" width="6.83203125" style="1" bestFit="1" customWidth="1"/>
    <col min="26" max="28" width="5.1640625" style="1" bestFit="1" customWidth="1"/>
    <col min="29" max="16384" width="16.33203125" style="1"/>
  </cols>
  <sheetData>
    <row r="1" spans="1:29" ht="27.75" customHeight="1" thickBot="1">
      <c r="A1" s="302" t="s">
        <v>30</v>
      </c>
      <c r="B1" s="302"/>
      <c r="C1" s="302"/>
      <c r="D1" s="302"/>
      <c r="E1" s="302"/>
      <c r="F1" s="302"/>
      <c r="G1" s="302"/>
      <c r="H1" s="302"/>
      <c r="I1" s="302"/>
      <c r="J1" s="211">
        <v>46204</v>
      </c>
      <c r="K1" s="19"/>
      <c r="L1" s="19"/>
      <c r="M1" s="19"/>
      <c r="AC1" s="220">
        <v>1</v>
      </c>
    </row>
    <row r="2" spans="1:29" ht="35" thickBot="1">
      <c r="A2" s="303" t="s">
        <v>22</v>
      </c>
      <c r="B2" s="304"/>
      <c r="C2" s="304"/>
      <c r="D2" s="154" t="s">
        <v>46</v>
      </c>
      <c r="E2" s="155" t="s">
        <v>46</v>
      </c>
      <c r="F2" s="156" t="s">
        <v>48</v>
      </c>
      <c r="G2" s="156" t="s">
        <v>48</v>
      </c>
      <c r="H2" s="157" t="s">
        <v>47</v>
      </c>
      <c r="I2" s="157" t="s">
        <v>47</v>
      </c>
      <c r="J2" s="20" t="s">
        <v>44</v>
      </c>
      <c r="K2" s="20" t="s">
        <v>44</v>
      </c>
      <c r="L2" s="159" t="s">
        <v>54</v>
      </c>
      <c r="M2" s="160" t="s">
        <v>54</v>
      </c>
      <c r="N2" s="154" t="s">
        <v>46</v>
      </c>
      <c r="O2" s="155" t="s">
        <v>46</v>
      </c>
      <c r="P2" s="155" t="s">
        <v>46</v>
      </c>
      <c r="Q2" s="156" t="s">
        <v>48</v>
      </c>
      <c r="R2" s="156" t="s">
        <v>48</v>
      </c>
      <c r="S2" s="156" t="s">
        <v>48</v>
      </c>
      <c r="T2" s="157" t="s">
        <v>47</v>
      </c>
      <c r="U2" s="157" t="s">
        <v>47</v>
      </c>
      <c r="V2" s="157" t="s">
        <v>47</v>
      </c>
      <c r="W2" s="20" t="s">
        <v>44</v>
      </c>
      <c r="X2" s="20" t="s">
        <v>44</v>
      </c>
      <c r="Y2" s="20" t="s">
        <v>45</v>
      </c>
      <c r="Z2" s="159" t="s">
        <v>54</v>
      </c>
      <c r="AA2" s="159" t="s">
        <v>54</v>
      </c>
      <c r="AB2" s="160" t="s">
        <v>54</v>
      </c>
      <c r="AC2" s="220">
        <v>2</v>
      </c>
    </row>
    <row r="3" spans="1:29" ht="15" customHeight="1" thickBot="1">
      <c r="A3" s="10" t="s">
        <v>25</v>
      </c>
      <c r="B3" s="15" t="s">
        <v>23</v>
      </c>
      <c r="C3" s="146" t="s">
        <v>24</v>
      </c>
      <c r="D3" s="179" t="s">
        <v>10</v>
      </c>
      <c r="E3" s="180" t="s">
        <v>11</v>
      </c>
      <c r="F3" s="180" t="s">
        <v>10</v>
      </c>
      <c r="G3" s="180" t="s">
        <v>11</v>
      </c>
      <c r="H3" s="180" t="s">
        <v>10</v>
      </c>
      <c r="I3" s="180" t="s">
        <v>11</v>
      </c>
      <c r="J3" s="180" t="s">
        <v>10</v>
      </c>
      <c r="K3" s="180" t="s">
        <v>11</v>
      </c>
      <c r="L3" s="180" t="s">
        <v>10</v>
      </c>
      <c r="M3" s="181" t="s">
        <v>11</v>
      </c>
      <c r="N3" s="165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6"/>
      <c r="AC3" s="220">
        <v>3</v>
      </c>
    </row>
    <row r="4" spans="1:29" ht="14.75" customHeight="1">
      <c r="A4" s="11" t="s">
        <v>27</v>
      </c>
      <c r="B4" s="14">
        <v>3</v>
      </c>
      <c r="C4" s="147">
        <v>3</v>
      </c>
      <c r="D4" s="172">
        <v>10</v>
      </c>
      <c r="E4" s="173">
        <v>15</v>
      </c>
      <c r="F4" s="174">
        <v>5</v>
      </c>
      <c r="G4" s="174">
        <v>10</v>
      </c>
      <c r="H4" s="175">
        <v>5</v>
      </c>
      <c r="I4" s="175">
        <v>10</v>
      </c>
      <c r="J4" s="176">
        <v>5</v>
      </c>
      <c r="K4" s="176">
        <v>10</v>
      </c>
      <c r="L4" s="177">
        <v>5</v>
      </c>
      <c r="M4" s="178">
        <v>10</v>
      </c>
      <c r="N4" s="158">
        <v>10</v>
      </c>
      <c r="O4" s="150">
        <v>15</v>
      </c>
      <c r="P4" s="150">
        <v>20</v>
      </c>
      <c r="Q4" s="151">
        <v>5</v>
      </c>
      <c r="R4" s="151">
        <v>10</v>
      </c>
      <c r="S4" s="151">
        <v>15</v>
      </c>
      <c r="T4" s="152">
        <v>5</v>
      </c>
      <c r="U4" s="152">
        <v>10</v>
      </c>
      <c r="V4" s="152">
        <v>15</v>
      </c>
      <c r="W4" s="153">
        <v>5</v>
      </c>
      <c r="X4" s="153">
        <v>10</v>
      </c>
      <c r="Y4" s="153">
        <v>15</v>
      </c>
      <c r="Z4" s="161">
        <v>5</v>
      </c>
      <c r="AA4" s="161">
        <v>5</v>
      </c>
      <c r="AB4" s="162">
        <v>10</v>
      </c>
      <c r="AC4" s="221">
        <v>4</v>
      </c>
    </row>
    <row r="5" spans="1:29" ht="14.75" customHeight="1">
      <c r="A5" s="11" t="s">
        <v>26</v>
      </c>
      <c r="B5" s="12">
        <v>3</v>
      </c>
      <c r="C5" s="148">
        <v>3</v>
      </c>
      <c r="D5" s="158">
        <v>15</v>
      </c>
      <c r="E5" s="150">
        <v>25</v>
      </c>
      <c r="F5" s="151">
        <v>10</v>
      </c>
      <c r="G5" s="151">
        <v>20</v>
      </c>
      <c r="H5" s="152">
        <v>10</v>
      </c>
      <c r="I5" s="152">
        <v>15</v>
      </c>
      <c r="J5" s="153">
        <v>10</v>
      </c>
      <c r="K5" s="153">
        <v>15</v>
      </c>
      <c r="L5" s="161">
        <v>5</v>
      </c>
      <c r="M5" s="163">
        <v>15</v>
      </c>
      <c r="N5" s="158">
        <v>20</v>
      </c>
      <c r="O5" s="150">
        <v>25</v>
      </c>
      <c r="P5" s="150">
        <v>30</v>
      </c>
      <c r="Q5" s="151">
        <v>15</v>
      </c>
      <c r="R5" s="151">
        <v>20</v>
      </c>
      <c r="S5" s="151">
        <v>25</v>
      </c>
      <c r="T5" s="152">
        <v>10</v>
      </c>
      <c r="U5" s="152">
        <v>15</v>
      </c>
      <c r="V5" s="152">
        <v>20</v>
      </c>
      <c r="W5" s="153">
        <v>10</v>
      </c>
      <c r="X5" s="153">
        <v>15</v>
      </c>
      <c r="Y5" s="153">
        <v>20</v>
      </c>
      <c r="Z5" s="161">
        <v>10</v>
      </c>
      <c r="AA5" s="161">
        <v>10</v>
      </c>
      <c r="AB5" s="162">
        <v>15</v>
      </c>
      <c r="AC5" s="221">
        <v>5</v>
      </c>
    </row>
    <row r="6" spans="1:29" ht="14.75" customHeight="1">
      <c r="A6" s="11" t="s">
        <v>28</v>
      </c>
      <c r="B6" s="12">
        <v>3</v>
      </c>
      <c r="C6" s="148">
        <v>3</v>
      </c>
      <c r="D6" s="158">
        <v>20</v>
      </c>
      <c r="E6" s="150">
        <v>35</v>
      </c>
      <c r="F6" s="151">
        <v>15</v>
      </c>
      <c r="G6" s="151">
        <v>30</v>
      </c>
      <c r="H6" s="152">
        <v>15</v>
      </c>
      <c r="I6" s="152">
        <v>25</v>
      </c>
      <c r="J6" s="153">
        <v>15</v>
      </c>
      <c r="K6" s="153">
        <v>25</v>
      </c>
      <c r="L6" s="161">
        <v>10</v>
      </c>
      <c r="M6" s="163">
        <v>15</v>
      </c>
      <c r="N6" s="158">
        <v>35</v>
      </c>
      <c r="O6" s="150">
        <v>40</v>
      </c>
      <c r="P6" s="150">
        <v>45</v>
      </c>
      <c r="Q6" s="151">
        <v>30</v>
      </c>
      <c r="R6" s="151">
        <v>35</v>
      </c>
      <c r="S6" s="151">
        <v>40</v>
      </c>
      <c r="T6" s="152">
        <v>20</v>
      </c>
      <c r="U6" s="152">
        <v>25</v>
      </c>
      <c r="V6" s="152">
        <v>30</v>
      </c>
      <c r="W6" s="153">
        <v>20</v>
      </c>
      <c r="X6" s="153">
        <v>25</v>
      </c>
      <c r="Y6" s="153">
        <v>30</v>
      </c>
      <c r="Z6" s="161">
        <v>15</v>
      </c>
      <c r="AA6" s="161">
        <v>15</v>
      </c>
      <c r="AB6" s="162">
        <v>20</v>
      </c>
      <c r="AC6" s="221">
        <v>6</v>
      </c>
    </row>
    <row r="7" spans="1:29" ht="14.75" customHeight="1" thickBot="1">
      <c r="A7" s="11" t="s">
        <v>29</v>
      </c>
      <c r="B7" s="13">
        <v>3</v>
      </c>
      <c r="C7" s="149">
        <v>3</v>
      </c>
      <c r="D7" s="158">
        <v>35</v>
      </c>
      <c r="E7" s="150">
        <v>55</v>
      </c>
      <c r="F7" s="151">
        <v>30</v>
      </c>
      <c r="G7" s="151">
        <v>45</v>
      </c>
      <c r="H7" s="152">
        <v>20</v>
      </c>
      <c r="I7" s="152">
        <v>35</v>
      </c>
      <c r="J7" s="153">
        <v>20</v>
      </c>
      <c r="K7" s="153">
        <v>30</v>
      </c>
      <c r="L7" s="161">
        <v>15</v>
      </c>
      <c r="M7" s="163">
        <v>20</v>
      </c>
      <c r="N7" s="167">
        <v>50</v>
      </c>
      <c r="O7" s="168">
        <v>55</v>
      </c>
      <c r="P7" s="168">
        <v>60</v>
      </c>
      <c r="Q7" s="169">
        <v>40</v>
      </c>
      <c r="R7" s="169">
        <v>45</v>
      </c>
      <c r="S7" s="169">
        <v>50</v>
      </c>
      <c r="T7" s="170">
        <v>30</v>
      </c>
      <c r="U7" s="170">
        <v>35</v>
      </c>
      <c r="V7" s="170">
        <v>40</v>
      </c>
      <c r="W7" s="171">
        <v>30</v>
      </c>
      <c r="X7" s="171">
        <v>30</v>
      </c>
      <c r="Y7" s="171">
        <v>30</v>
      </c>
      <c r="Z7" s="182">
        <v>20</v>
      </c>
      <c r="AA7" s="182">
        <v>20</v>
      </c>
      <c r="AB7" s="183">
        <v>20</v>
      </c>
      <c r="AC7" s="220">
        <v>7</v>
      </c>
    </row>
    <row r="8" spans="1:29" ht="14.75" customHeight="1" thickBot="1">
      <c r="C8" s="6"/>
      <c r="D8" s="312" t="s">
        <v>23</v>
      </c>
      <c r="E8" s="313"/>
      <c r="F8" s="313"/>
      <c r="G8" s="313"/>
      <c r="H8" s="313"/>
      <c r="I8" s="313"/>
      <c r="J8" s="313"/>
      <c r="K8" s="313"/>
      <c r="L8" s="313"/>
      <c r="M8" s="314"/>
      <c r="N8" s="315" t="s">
        <v>24</v>
      </c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7"/>
      <c r="AC8" s="220">
        <v>8</v>
      </c>
    </row>
    <row r="9" spans="1:29" customFormat="1" ht="14.75" customHeight="1">
      <c r="A9" s="210">
        <v>1</v>
      </c>
      <c r="B9" s="210">
        <f>A9+1</f>
        <v>2</v>
      </c>
      <c r="C9" s="210">
        <f t="shared" ref="C9:K9" si="0">B9+1</f>
        <v>3</v>
      </c>
      <c r="D9" s="210">
        <f t="shared" si="0"/>
        <v>4</v>
      </c>
      <c r="E9" s="210">
        <f t="shared" si="0"/>
        <v>5</v>
      </c>
      <c r="F9" s="210">
        <f t="shared" si="0"/>
        <v>6</v>
      </c>
      <c r="G9" s="210">
        <f t="shared" si="0"/>
        <v>7</v>
      </c>
      <c r="H9" s="210">
        <f t="shared" si="0"/>
        <v>8</v>
      </c>
      <c r="I9" s="210">
        <f t="shared" si="0"/>
        <v>9</v>
      </c>
      <c r="J9" s="210">
        <f t="shared" si="0"/>
        <v>10</v>
      </c>
      <c r="K9" s="210">
        <f t="shared" si="0"/>
        <v>11</v>
      </c>
      <c r="L9" s="210">
        <f t="shared" ref="L9" si="1">K9+1</f>
        <v>12</v>
      </c>
      <c r="M9" s="210">
        <f t="shared" ref="M9" si="2">L9+1</f>
        <v>13</v>
      </c>
      <c r="N9" s="210">
        <f t="shared" ref="N9" si="3">M9+1</f>
        <v>14</v>
      </c>
      <c r="O9" s="210">
        <f t="shared" ref="O9" si="4">N9+1</f>
        <v>15</v>
      </c>
      <c r="P9" s="210">
        <f t="shared" ref="P9" si="5">O9+1</f>
        <v>16</v>
      </c>
      <c r="Q9" s="210">
        <f t="shared" ref="Q9" si="6">P9+1</f>
        <v>17</v>
      </c>
      <c r="R9" s="210">
        <f t="shared" ref="R9" si="7">Q9+1</f>
        <v>18</v>
      </c>
      <c r="S9" s="210">
        <f t="shared" ref="S9" si="8">R9+1</f>
        <v>19</v>
      </c>
      <c r="T9" s="210">
        <f t="shared" ref="T9" si="9">S9+1</f>
        <v>20</v>
      </c>
      <c r="U9" s="210">
        <f t="shared" ref="U9" si="10">T9+1</f>
        <v>21</v>
      </c>
      <c r="V9" s="210">
        <f t="shared" ref="V9" si="11">U9+1</f>
        <v>22</v>
      </c>
      <c r="W9" s="210">
        <f t="shared" ref="W9" si="12">V9+1</f>
        <v>23</v>
      </c>
      <c r="X9" s="210">
        <f t="shared" ref="X9" si="13">W9+1</f>
        <v>24</v>
      </c>
      <c r="Y9" s="210">
        <f t="shared" ref="Y9" si="14">X9+1</f>
        <v>25</v>
      </c>
      <c r="Z9" s="210">
        <f t="shared" ref="Z9" si="15">Y9+1</f>
        <v>26</v>
      </c>
      <c r="AA9" s="210">
        <f t="shared" ref="AA9" si="16">Z9+1</f>
        <v>27</v>
      </c>
      <c r="AB9" s="210">
        <f t="shared" ref="AB9" si="17">AA9+1</f>
        <v>28</v>
      </c>
    </row>
    <row r="10" spans="1:29" ht="14.75" customHeight="1">
      <c r="A10" s="4" t="s">
        <v>34</v>
      </c>
      <c r="B10" s="3">
        <f>SUM(B4:C7)</f>
        <v>24</v>
      </c>
      <c r="C10" s="4" t="s">
        <v>12</v>
      </c>
      <c r="D10" s="9">
        <v>300</v>
      </c>
      <c r="E10" s="9">
        <v>330</v>
      </c>
      <c r="G10" s="6"/>
      <c r="H10" s="6"/>
      <c r="I10" s="6"/>
      <c r="J10" s="6"/>
      <c r="K10" s="6"/>
      <c r="L10" s="6"/>
      <c r="M10" s="6"/>
    </row>
    <row r="11" spans="1:29" ht="13.5" customHeight="1">
      <c r="C11" s="2" t="s">
        <v>13</v>
      </c>
      <c r="D11" s="7">
        <v>220</v>
      </c>
      <c r="E11" s="7">
        <v>244</v>
      </c>
      <c r="H11" s="305" t="s">
        <v>37</v>
      </c>
      <c r="I11" s="305"/>
      <c r="J11" s="305"/>
      <c r="K11" s="305"/>
      <c r="L11" s="8">
        <v>0.25</v>
      </c>
    </row>
    <row r="12" spans="1:29" ht="14.75" customHeight="1" thickBot="1">
      <c r="A12" s="21" t="s">
        <v>33</v>
      </c>
      <c r="D12" s="5">
        <v>192</v>
      </c>
      <c r="E12" s="5">
        <v>212</v>
      </c>
      <c r="H12" s="306" t="s">
        <v>38</v>
      </c>
      <c r="I12" s="306"/>
      <c r="J12" s="306"/>
      <c r="K12" s="306"/>
      <c r="L12" s="8">
        <v>1</v>
      </c>
    </row>
    <row r="13" spans="1:29" ht="17" thickBot="1">
      <c r="A13" s="21" t="s">
        <v>51</v>
      </c>
      <c r="E13" s="6"/>
      <c r="F13" s="6"/>
      <c r="G13" s="6"/>
      <c r="H13" s="307" t="s">
        <v>36</v>
      </c>
      <c r="I13" s="308"/>
      <c r="J13" s="308"/>
      <c r="K13" s="308"/>
      <c r="L13" s="17">
        <v>2</v>
      </c>
      <c r="M13" s="18" t="s">
        <v>39</v>
      </c>
    </row>
    <row r="14" spans="1:29" ht="32" customHeight="1" thickBot="1">
      <c r="E14" s="309" t="s">
        <v>35</v>
      </c>
      <c r="F14" s="310"/>
      <c r="G14" s="310"/>
      <c r="H14" s="310"/>
      <c r="I14" s="310"/>
      <c r="J14" s="310"/>
      <c r="K14" s="311"/>
      <c r="L14" s="16" t="s">
        <v>33</v>
      </c>
    </row>
  </sheetData>
  <sheetProtection sheet="1" objects="1" scenarios="1" selectLockedCells="1"/>
  <mergeCells count="8">
    <mergeCell ref="E14:K14"/>
    <mergeCell ref="D8:M8"/>
    <mergeCell ref="N8:AB8"/>
    <mergeCell ref="A1:I1"/>
    <mergeCell ref="A2:C2"/>
    <mergeCell ref="H11:K11"/>
    <mergeCell ref="H12:K12"/>
    <mergeCell ref="H13:K13"/>
  </mergeCells>
  <dataValidations disablePrompts="1" count="1">
    <dataValidation type="list" allowBlank="1" showInputMessage="1" showErrorMessage="1" sqref="L14" xr:uid="{2BF4AF5A-0F3F-9F44-8EA2-B49623398D46}">
      <formula1>$A$12:$A$13</formula1>
    </dataValidation>
  </dataValidation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Organisateur</vt:lpstr>
      <vt:lpstr>Arbitre</vt:lpstr>
      <vt:lpstr>Valeurs Règlement Campagne</vt:lpstr>
      <vt:lpstr>Arbitre!Zone_d_impression</vt:lpstr>
      <vt:lpstr>Organisateur!Zone_d_impression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MAUFFREY</dc:creator>
  <cp:lastModifiedBy>Frédéric Desplats</cp:lastModifiedBy>
  <dcterms:created xsi:type="dcterms:W3CDTF">2024-10-12T19:59:35Z</dcterms:created>
  <dcterms:modified xsi:type="dcterms:W3CDTF">2026-08-15T16:00:17Z</dcterms:modified>
</cp:coreProperties>
</file>