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erf/Downloads/"/>
    </mc:Choice>
  </mc:AlternateContent>
  <xr:revisionPtr revIDLastSave="0" documentId="13_ncr:1_{40C76221-2F50-C746-B255-71A465EF5130}" xr6:coauthVersionLast="47" xr6:coauthVersionMax="47" xr10:uidLastSave="{00000000-0000-0000-0000-000000000000}"/>
  <bookViews>
    <workbookView xWindow="2760" yWindow="600" windowWidth="28160" windowHeight="17020" xr2:uid="{00000000-000D-0000-FFFF-FFFF00000000}"/>
  </bookViews>
  <sheets>
    <sheet name="Organisateur" sheetId="4" r:id="rId1"/>
    <sheet name="Synthèse conformité" sheetId="5" r:id="rId2"/>
    <sheet name="Arbitre" sheetId="1" r:id="rId3"/>
    <sheet name="Valeurs Règlements Nature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S18" i="1" s="1"/>
  <c r="C13" i="1"/>
  <c r="B13" i="1"/>
  <c r="E20" i="1"/>
  <c r="B20" i="1"/>
  <c r="C10" i="1"/>
  <c r="A1" i="1"/>
  <c r="B6" i="5"/>
  <c r="C3" i="5"/>
  <c r="B9" i="2"/>
  <c r="D35" i="1"/>
  <c r="C35" i="1"/>
  <c r="B32" i="1"/>
  <c r="A32" i="1"/>
  <c r="B31" i="1"/>
  <c r="A31" i="1"/>
  <c r="B30" i="1"/>
  <c r="A30" i="1"/>
  <c r="B29" i="1"/>
  <c r="B33" i="1" s="1"/>
  <c r="A29" i="1"/>
  <c r="AL26" i="1"/>
  <c r="AK26" i="1"/>
  <c r="AM26" i="1" s="1"/>
  <c r="AJ26" i="1"/>
  <c r="H26" i="1"/>
  <c r="G26" i="1"/>
  <c r="W26" i="1" s="1"/>
  <c r="F26" i="1"/>
  <c r="U26" i="1" s="1"/>
  <c r="E26" i="1"/>
  <c r="S26" i="1" s="1"/>
  <c r="C26" i="1"/>
  <c r="B26" i="1"/>
  <c r="AL25" i="1"/>
  <c r="AK25" i="1"/>
  <c r="AM25" i="1" s="1"/>
  <c r="AJ25" i="1"/>
  <c r="H25" i="1"/>
  <c r="G25" i="1"/>
  <c r="W25" i="1" s="1"/>
  <c r="F25" i="1"/>
  <c r="U25" i="1" s="1"/>
  <c r="E25" i="1"/>
  <c r="S25" i="1" s="1"/>
  <c r="C25" i="1"/>
  <c r="B25" i="1"/>
  <c r="AL24" i="1"/>
  <c r="AK24" i="1"/>
  <c r="AM24" i="1" s="1"/>
  <c r="AJ24" i="1"/>
  <c r="H24" i="1"/>
  <c r="G24" i="1"/>
  <c r="F24" i="1"/>
  <c r="E24" i="1"/>
  <c r="C24" i="1"/>
  <c r="B24" i="1"/>
  <c r="AL23" i="1"/>
  <c r="AK23" i="1"/>
  <c r="AM23" i="1" s="1"/>
  <c r="AJ23" i="1"/>
  <c r="H23" i="1"/>
  <c r="G23" i="1"/>
  <c r="W23" i="1" s="1"/>
  <c r="F23" i="1"/>
  <c r="U23" i="1" s="1"/>
  <c r="E23" i="1"/>
  <c r="S23" i="1" s="1"/>
  <c r="C23" i="1"/>
  <c r="B23" i="1"/>
  <c r="AL22" i="1"/>
  <c r="AK22" i="1"/>
  <c r="AM22" i="1" s="1"/>
  <c r="AJ22" i="1"/>
  <c r="H22" i="1"/>
  <c r="G22" i="1"/>
  <c r="W22" i="1" s="1"/>
  <c r="F22" i="1"/>
  <c r="U22" i="1" s="1"/>
  <c r="E22" i="1"/>
  <c r="S22" i="1" s="1"/>
  <c r="C22" i="1"/>
  <c r="B22" i="1"/>
  <c r="AL21" i="1"/>
  <c r="AK21" i="1"/>
  <c r="AM21" i="1" s="1"/>
  <c r="AJ21" i="1"/>
  <c r="H21" i="1"/>
  <c r="G21" i="1"/>
  <c r="W21" i="1" s="1"/>
  <c r="F21" i="1"/>
  <c r="U21" i="1" s="1"/>
  <c r="E21" i="1"/>
  <c r="S21" i="1" s="1"/>
  <c r="C21" i="1"/>
  <c r="B21" i="1"/>
  <c r="AL20" i="1"/>
  <c r="AK20" i="1"/>
  <c r="AM20" i="1" s="1"/>
  <c r="AJ20" i="1"/>
  <c r="H20" i="1"/>
  <c r="G20" i="1"/>
  <c r="W20" i="1" s="1"/>
  <c r="F20" i="1"/>
  <c r="U20" i="1" s="1"/>
  <c r="S20" i="1"/>
  <c r="C20" i="1"/>
  <c r="AL19" i="1"/>
  <c r="AK19" i="1"/>
  <c r="AM19" i="1" s="1"/>
  <c r="AJ19" i="1"/>
  <c r="H19" i="1"/>
  <c r="G19" i="1"/>
  <c r="W19" i="1" s="1"/>
  <c r="F19" i="1"/>
  <c r="U19" i="1" s="1"/>
  <c r="E19" i="1"/>
  <c r="S19" i="1" s="1"/>
  <c r="C19" i="1"/>
  <c r="B19" i="1"/>
  <c r="AL18" i="1"/>
  <c r="AK18" i="1"/>
  <c r="AM18" i="1" s="1"/>
  <c r="AJ18" i="1"/>
  <c r="H18" i="1"/>
  <c r="C18" i="1"/>
  <c r="B18" i="1"/>
  <c r="AL17" i="1"/>
  <c r="AK17" i="1"/>
  <c r="AM17" i="1" s="1"/>
  <c r="AJ17" i="1"/>
  <c r="H17" i="1"/>
  <c r="G17" i="1"/>
  <c r="W17" i="1" s="1"/>
  <c r="F17" i="1"/>
  <c r="U17" i="1" s="1"/>
  <c r="E17" i="1"/>
  <c r="S17" i="1" s="1"/>
  <c r="C17" i="1"/>
  <c r="B17" i="1"/>
  <c r="AL16" i="1"/>
  <c r="AK16" i="1"/>
  <c r="AM16" i="1" s="1"/>
  <c r="AJ16" i="1"/>
  <c r="H16" i="1"/>
  <c r="G16" i="1"/>
  <c r="F16" i="1"/>
  <c r="U16" i="1" s="1"/>
  <c r="E16" i="1"/>
  <c r="S16" i="1" s="1"/>
  <c r="C16" i="1"/>
  <c r="B16" i="1"/>
  <c r="AL15" i="1"/>
  <c r="AK15" i="1"/>
  <c r="AM15" i="1" s="1"/>
  <c r="AJ15" i="1"/>
  <c r="H15" i="1"/>
  <c r="G15" i="1"/>
  <c r="W15" i="1" s="1"/>
  <c r="F15" i="1"/>
  <c r="U15" i="1" s="1"/>
  <c r="E15" i="1"/>
  <c r="S15" i="1" s="1"/>
  <c r="C15" i="1"/>
  <c r="B15" i="1"/>
  <c r="AL14" i="1"/>
  <c r="AK14" i="1"/>
  <c r="AM14" i="1" s="1"/>
  <c r="AJ14" i="1"/>
  <c r="H14" i="1"/>
  <c r="G14" i="1"/>
  <c r="W14" i="1" s="1"/>
  <c r="F14" i="1"/>
  <c r="U14" i="1" s="1"/>
  <c r="E14" i="1"/>
  <c r="S14" i="1" s="1"/>
  <c r="C14" i="1"/>
  <c r="B14" i="1"/>
  <c r="AL13" i="1"/>
  <c r="AK13" i="1"/>
  <c r="AM13" i="1" s="1"/>
  <c r="AJ13" i="1"/>
  <c r="H13" i="1"/>
  <c r="G13" i="1"/>
  <c r="W13" i="1" s="1"/>
  <c r="F13" i="1"/>
  <c r="U13" i="1" s="1"/>
  <c r="E13" i="1"/>
  <c r="S13" i="1" s="1"/>
  <c r="AL12" i="1"/>
  <c r="AK12" i="1"/>
  <c r="AM12" i="1" s="1"/>
  <c r="AJ12" i="1"/>
  <c r="H12" i="1"/>
  <c r="G12" i="1"/>
  <c r="W12" i="1" s="1"/>
  <c r="F12" i="1"/>
  <c r="U12" i="1" s="1"/>
  <c r="E12" i="1"/>
  <c r="S12" i="1" s="1"/>
  <c r="C12" i="1"/>
  <c r="B12" i="1"/>
  <c r="AL11" i="1"/>
  <c r="AK11" i="1"/>
  <c r="AM11" i="1" s="1"/>
  <c r="AJ11" i="1"/>
  <c r="H11" i="1"/>
  <c r="G11" i="1"/>
  <c r="F11" i="1"/>
  <c r="U11" i="1" s="1"/>
  <c r="E11" i="1"/>
  <c r="S11" i="1" s="1"/>
  <c r="C11" i="1"/>
  <c r="AN11" i="1" s="1"/>
  <c r="B11" i="1"/>
  <c r="AL10" i="1"/>
  <c r="AK10" i="1"/>
  <c r="AM10" i="1" s="1"/>
  <c r="AJ10" i="1"/>
  <c r="H10" i="1"/>
  <c r="G10" i="1"/>
  <c r="W10" i="1" s="1"/>
  <c r="F10" i="1"/>
  <c r="U10" i="1" s="1"/>
  <c r="E10" i="1"/>
  <c r="S10" i="1" s="1"/>
  <c r="B10" i="1"/>
  <c r="AL9" i="1"/>
  <c r="AK9" i="1"/>
  <c r="AM9" i="1" s="1"/>
  <c r="AJ9" i="1"/>
  <c r="H9" i="1"/>
  <c r="G9" i="1"/>
  <c r="W9" i="1" s="1"/>
  <c r="F9" i="1"/>
  <c r="U9" i="1" s="1"/>
  <c r="E9" i="1"/>
  <c r="S9" i="1" s="1"/>
  <c r="C9" i="1"/>
  <c r="B9" i="1"/>
  <c r="AL8" i="1"/>
  <c r="AK8" i="1"/>
  <c r="AM8" i="1" s="1"/>
  <c r="AJ8" i="1"/>
  <c r="H8" i="1"/>
  <c r="G8" i="1"/>
  <c r="W8" i="1" s="1"/>
  <c r="F8" i="1"/>
  <c r="U8" i="1" s="1"/>
  <c r="E8" i="1"/>
  <c r="S8" i="1" s="1"/>
  <c r="C8" i="1"/>
  <c r="B8" i="1"/>
  <c r="AL7" i="1"/>
  <c r="AK7" i="1"/>
  <c r="AM7" i="1" s="1"/>
  <c r="AJ7" i="1"/>
  <c r="H7" i="1"/>
  <c r="G7" i="1"/>
  <c r="W7" i="1" s="1"/>
  <c r="F7" i="1"/>
  <c r="U7" i="1" s="1"/>
  <c r="E7" i="1"/>
  <c r="S7" i="1" s="1"/>
  <c r="C7" i="1"/>
  <c r="B7" i="1"/>
  <c r="AL6" i="1"/>
  <c r="AK6" i="1"/>
  <c r="AM6" i="1" s="1"/>
  <c r="AJ6" i="1"/>
  <c r="H6" i="1"/>
  <c r="G6" i="1"/>
  <c r="W6" i="1" s="1"/>
  <c r="F6" i="1"/>
  <c r="U6" i="1" s="1"/>
  <c r="E6" i="1"/>
  <c r="C6" i="1"/>
  <c r="B6" i="1"/>
  <c r="AN5" i="1"/>
  <c r="AL5" i="1"/>
  <c r="AK5" i="1"/>
  <c r="AM5" i="1" s="1"/>
  <c r="AJ5" i="1"/>
  <c r="AO5" i="1" s="1"/>
  <c r="AI5" i="1"/>
  <c r="AH5" i="1"/>
  <c r="AG5" i="1"/>
  <c r="AF5" i="1"/>
  <c r="W5" i="1"/>
  <c r="U5" i="1"/>
  <c r="S5" i="1"/>
  <c r="N5" i="1"/>
  <c r="R5" i="1" s="1"/>
  <c r="M5" i="1"/>
  <c r="Q5" i="1" s="1"/>
  <c r="L5" i="1"/>
  <c r="P5" i="1" s="1"/>
  <c r="K5" i="1"/>
  <c r="J5" i="1"/>
  <c r="O5" i="1" s="1"/>
  <c r="D35" i="4"/>
  <c r="C35" i="4"/>
  <c r="H34" i="4"/>
  <c r="G34" i="4"/>
  <c r="F34" i="4"/>
  <c r="E34" i="4"/>
  <c r="B32" i="4"/>
  <c r="A32" i="4"/>
  <c r="B31" i="4"/>
  <c r="A31" i="4"/>
  <c r="B30" i="4"/>
  <c r="A30" i="4"/>
  <c r="B29" i="4"/>
  <c r="B33" i="4" s="1"/>
  <c r="A29" i="4"/>
  <c r="W26" i="4"/>
  <c r="U26" i="4"/>
  <c r="S26" i="4"/>
  <c r="R26" i="4"/>
  <c r="N26" i="4"/>
  <c r="M26" i="4"/>
  <c r="Q26" i="4" s="1"/>
  <c r="L26" i="4"/>
  <c r="P26" i="4" s="1"/>
  <c r="K26" i="4"/>
  <c r="J26" i="4"/>
  <c r="O26" i="4" s="1"/>
  <c r="W25" i="4"/>
  <c r="U25" i="4"/>
  <c r="S25" i="4"/>
  <c r="R25" i="4"/>
  <c r="N25" i="4"/>
  <c r="M25" i="4"/>
  <c r="Q25" i="4" s="1"/>
  <c r="L25" i="4"/>
  <c r="P25" i="4" s="1"/>
  <c r="K25" i="4"/>
  <c r="J25" i="4"/>
  <c r="O25" i="4" s="1"/>
  <c r="W24" i="4"/>
  <c r="U24" i="4"/>
  <c r="S24" i="4"/>
  <c r="R24" i="4"/>
  <c r="P24" i="4"/>
  <c r="N24" i="4"/>
  <c r="M24" i="4"/>
  <c r="Q24" i="4" s="1"/>
  <c r="L24" i="4"/>
  <c r="K24" i="4"/>
  <c r="J24" i="4"/>
  <c r="O24" i="4" s="1"/>
  <c r="W23" i="4"/>
  <c r="U23" i="4"/>
  <c r="S23" i="4"/>
  <c r="R23" i="4"/>
  <c r="N23" i="4"/>
  <c r="M23" i="4"/>
  <c r="Q23" i="4" s="1"/>
  <c r="L23" i="4"/>
  <c r="P23" i="4" s="1"/>
  <c r="K23" i="4"/>
  <c r="J23" i="4"/>
  <c r="O23" i="4" s="1"/>
  <c r="W22" i="4"/>
  <c r="U22" i="4"/>
  <c r="S22" i="4"/>
  <c r="R22" i="4"/>
  <c r="N22" i="4"/>
  <c r="M22" i="4"/>
  <c r="Q22" i="4" s="1"/>
  <c r="L22" i="4"/>
  <c r="P22" i="4" s="1"/>
  <c r="K22" i="4"/>
  <c r="J22" i="4"/>
  <c r="O22" i="4" s="1"/>
  <c r="W21" i="4"/>
  <c r="U21" i="4"/>
  <c r="S21" i="4"/>
  <c r="R21" i="4"/>
  <c r="N21" i="4"/>
  <c r="M21" i="4"/>
  <c r="Q21" i="4" s="1"/>
  <c r="L21" i="4"/>
  <c r="P21" i="4" s="1"/>
  <c r="K21" i="4"/>
  <c r="J21" i="4"/>
  <c r="O21" i="4" s="1"/>
  <c r="W20" i="4"/>
  <c r="U20" i="4"/>
  <c r="S20" i="4"/>
  <c r="R20" i="4"/>
  <c r="N20" i="4"/>
  <c r="M20" i="4"/>
  <c r="Q20" i="4" s="1"/>
  <c r="L20" i="4"/>
  <c r="P20" i="4" s="1"/>
  <c r="K20" i="4"/>
  <c r="J20" i="4"/>
  <c r="O20" i="4" s="1"/>
  <c r="W19" i="4"/>
  <c r="U19" i="4"/>
  <c r="S19" i="4"/>
  <c r="R19" i="4"/>
  <c r="N19" i="4"/>
  <c r="M19" i="4"/>
  <c r="Q19" i="4" s="1"/>
  <c r="L19" i="4"/>
  <c r="P19" i="4" s="1"/>
  <c r="K19" i="4"/>
  <c r="J19" i="4"/>
  <c r="O19" i="4" s="1"/>
  <c r="W18" i="4"/>
  <c r="U18" i="4"/>
  <c r="S18" i="4"/>
  <c r="R18" i="4"/>
  <c r="N18" i="4"/>
  <c r="M18" i="4"/>
  <c r="Q18" i="4" s="1"/>
  <c r="L18" i="4"/>
  <c r="P18" i="4" s="1"/>
  <c r="K18" i="4"/>
  <c r="J18" i="4"/>
  <c r="O18" i="4" s="1"/>
  <c r="W17" i="4"/>
  <c r="U17" i="4"/>
  <c r="S17" i="4"/>
  <c r="R17" i="4"/>
  <c r="N17" i="4"/>
  <c r="M17" i="4"/>
  <c r="Q17" i="4" s="1"/>
  <c r="L17" i="4"/>
  <c r="P17" i="4" s="1"/>
  <c r="K17" i="4"/>
  <c r="J17" i="4"/>
  <c r="O17" i="4" s="1"/>
  <c r="W16" i="4"/>
  <c r="U16" i="4"/>
  <c r="S16" i="4"/>
  <c r="R16" i="4"/>
  <c r="N16" i="4"/>
  <c r="M16" i="4"/>
  <c r="Q16" i="4" s="1"/>
  <c r="L16" i="4"/>
  <c r="P16" i="4" s="1"/>
  <c r="K16" i="4"/>
  <c r="J16" i="4"/>
  <c r="O16" i="4" s="1"/>
  <c r="W15" i="4"/>
  <c r="U15" i="4"/>
  <c r="S15" i="4"/>
  <c r="R15" i="4"/>
  <c r="N15" i="4"/>
  <c r="M15" i="4"/>
  <c r="Q15" i="4" s="1"/>
  <c r="L15" i="4"/>
  <c r="P15" i="4" s="1"/>
  <c r="K15" i="4"/>
  <c r="J15" i="4"/>
  <c r="O15" i="4" s="1"/>
  <c r="W14" i="4"/>
  <c r="U14" i="4"/>
  <c r="S14" i="4"/>
  <c r="R14" i="4"/>
  <c r="N14" i="4"/>
  <c r="M14" i="4"/>
  <c r="Q14" i="4" s="1"/>
  <c r="L14" i="4"/>
  <c r="P14" i="4" s="1"/>
  <c r="K14" i="4"/>
  <c r="J14" i="4"/>
  <c r="O14" i="4" s="1"/>
  <c r="W13" i="4"/>
  <c r="U13" i="4"/>
  <c r="S13" i="4"/>
  <c r="R13" i="4"/>
  <c r="N13" i="4"/>
  <c r="M13" i="4"/>
  <c r="Q13" i="4" s="1"/>
  <c r="L13" i="4"/>
  <c r="P13" i="4" s="1"/>
  <c r="K13" i="4"/>
  <c r="J13" i="4"/>
  <c r="O13" i="4" s="1"/>
  <c r="W12" i="4"/>
  <c r="U12" i="4"/>
  <c r="S12" i="4"/>
  <c r="R12" i="4"/>
  <c r="N12" i="4"/>
  <c r="M12" i="4"/>
  <c r="Q12" i="4" s="1"/>
  <c r="L12" i="4"/>
  <c r="P12" i="4" s="1"/>
  <c r="K12" i="4"/>
  <c r="J12" i="4"/>
  <c r="O12" i="4" s="1"/>
  <c r="W11" i="4"/>
  <c r="U11" i="4"/>
  <c r="S11" i="4"/>
  <c r="R11" i="4"/>
  <c r="N11" i="4"/>
  <c r="M11" i="4"/>
  <c r="Q11" i="4" s="1"/>
  <c r="L11" i="4"/>
  <c r="P11" i="4" s="1"/>
  <c r="K11" i="4"/>
  <c r="J11" i="4"/>
  <c r="O11" i="4" s="1"/>
  <c r="W10" i="4"/>
  <c r="U10" i="4"/>
  <c r="S10" i="4"/>
  <c r="R10" i="4"/>
  <c r="N10" i="4"/>
  <c r="M10" i="4"/>
  <c r="Q10" i="4" s="1"/>
  <c r="L10" i="4"/>
  <c r="P10" i="4" s="1"/>
  <c r="K10" i="4"/>
  <c r="J10" i="4"/>
  <c r="O10" i="4" s="1"/>
  <c r="W9" i="4"/>
  <c r="U9" i="4"/>
  <c r="S9" i="4"/>
  <c r="R9" i="4"/>
  <c r="N9" i="4"/>
  <c r="M9" i="4"/>
  <c r="Q9" i="4" s="1"/>
  <c r="L9" i="4"/>
  <c r="P9" i="4" s="1"/>
  <c r="K9" i="4"/>
  <c r="J9" i="4"/>
  <c r="O9" i="4" s="1"/>
  <c r="W8" i="4"/>
  <c r="U8" i="4"/>
  <c r="S8" i="4"/>
  <c r="R8" i="4"/>
  <c r="N8" i="4"/>
  <c r="M8" i="4"/>
  <c r="Q8" i="4" s="1"/>
  <c r="L8" i="4"/>
  <c r="P8" i="4" s="1"/>
  <c r="K8" i="4"/>
  <c r="J8" i="4"/>
  <c r="O8" i="4" s="1"/>
  <c r="W7" i="4"/>
  <c r="U7" i="4"/>
  <c r="S7" i="4"/>
  <c r="R7" i="4"/>
  <c r="N7" i="4"/>
  <c r="M7" i="4"/>
  <c r="Q7" i="4" s="1"/>
  <c r="L7" i="4"/>
  <c r="P7" i="4" s="1"/>
  <c r="K7" i="4"/>
  <c r="J7" i="4"/>
  <c r="O7" i="4" s="1"/>
  <c r="W6" i="4"/>
  <c r="U6" i="4"/>
  <c r="S6" i="4"/>
  <c r="R6" i="4"/>
  <c r="N6" i="4"/>
  <c r="M6" i="4"/>
  <c r="Q6" i="4" s="1"/>
  <c r="L6" i="4"/>
  <c r="P6" i="4" s="1"/>
  <c r="K6" i="4"/>
  <c r="J6" i="4"/>
  <c r="O6" i="4" s="1"/>
  <c r="E8" i="5" s="1"/>
  <c r="W5" i="4"/>
  <c r="U5" i="4"/>
  <c r="S5" i="4"/>
  <c r="N5" i="4"/>
  <c r="R5" i="4" s="1"/>
  <c r="M5" i="4"/>
  <c r="Q5" i="4" s="1"/>
  <c r="L5" i="4"/>
  <c r="P5" i="4" s="1"/>
  <c r="K5" i="4"/>
  <c r="J5" i="4"/>
  <c r="O5" i="4" s="1"/>
  <c r="W18" i="1" l="1"/>
  <c r="W16" i="1"/>
  <c r="W11" i="1"/>
  <c r="H34" i="1"/>
  <c r="AO23" i="1"/>
  <c r="U18" i="1"/>
  <c r="AN23" i="1"/>
  <c r="O23" i="1"/>
  <c r="P23" i="1"/>
  <c r="Q23" i="1"/>
  <c r="R23" i="1"/>
  <c r="AF23" i="1"/>
  <c r="AG23" i="1"/>
  <c r="AH23" i="1"/>
  <c r="AI23" i="1"/>
  <c r="AF17" i="1"/>
  <c r="AG17" i="1"/>
  <c r="AH17" i="1"/>
  <c r="AI17" i="1"/>
  <c r="AN17" i="1"/>
  <c r="S6" i="1"/>
  <c r="B10" i="5"/>
  <c r="E35" i="4"/>
  <c r="D10" i="5"/>
  <c r="E10" i="5" s="1"/>
  <c r="B9" i="5"/>
  <c r="E9" i="5"/>
  <c r="D9" i="5" s="1"/>
  <c r="D6" i="5"/>
  <c r="D8" i="5"/>
  <c r="G32" i="1"/>
  <c r="C32" i="1"/>
  <c r="D32" i="1" s="1"/>
  <c r="F32" i="1"/>
  <c r="E32" i="1"/>
  <c r="H32" i="1"/>
  <c r="H31" i="1"/>
  <c r="E31" i="1"/>
  <c r="C31" i="1"/>
  <c r="D31" i="1" s="1"/>
  <c r="F31" i="1"/>
  <c r="G31" i="1"/>
  <c r="F30" i="1"/>
  <c r="G30" i="1"/>
  <c r="C30" i="1"/>
  <c r="D30" i="1" s="1"/>
  <c r="E30" i="1"/>
  <c r="H30" i="1"/>
  <c r="G29" i="1"/>
  <c r="E29" i="1"/>
  <c r="F29" i="1"/>
  <c r="C29" i="1"/>
  <c r="D29" i="1" s="1"/>
  <c r="H29" i="1"/>
  <c r="AG26" i="1"/>
  <c r="AF26" i="1"/>
  <c r="AH26" i="1"/>
  <c r="AI26" i="1"/>
  <c r="AN26" i="1"/>
  <c r="AO26" i="1"/>
  <c r="R26" i="1"/>
  <c r="J26" i="1"/>
  <c r="K26" i="1"/>
  <c r="O26" i="1" s="1"/>
  <c r="L26" i="1"/>
  <c r="P26" i="1" s="1"/>
  <c r="M26" i="1"/>
  <c r="Q26" i="1" s="1"/>
  <c r="N26" i="1"/>
  <c r="R25" i="1"/>
  <c r="AH25" i="1"/>
  <c r="AF25" i="1"/>
  <c r="M25" i="1"/>
  <c r="Q25" i="1" s="1"/>
  <c r="K25" i="1"/>
  <c r="AN25" i="1"/>
  <c r="AO25" i="1"/>
  <c r="AI25" i="1"/>
  <c r="AG25" i="1"/>
  <c r="L25" i="1"/>
  <c r="P25" i="1" s="1"/>
  <c r="J25" i="1"/>
  <c r="O25" i="1" s="1"/>
  <c r="N25" i="1"/>
  <c r="W24" i="1"/>
  <c r="G34" i="1"/>
  <c r="U24" i="1"/>
  <c r="F34" i="1"/>
  <c r="E34" i="1"/>
  <c r="E35" i="1" s="1"/>
  <c r="S24" i="1"/>
  <c r="R24" i="1"/>
  <c r="AH24" i="1"/>
  <c r="AF24" i="1"/>
  <c r="AG24" i="1"/>
  <c r="AI24" i="1"/>
  <c r="AO24" i="1"/>
  <c r="N24" i="1"/>
  <c r="M24" i="1"/>
  <c r="Q24" i="1" s="1"/>
  <c r="L24" i="1"/>
  <c r="P24" i="1" s="1"/>
  <c r="J24" i="1"/>
  <c r="O24" i="1" s="1"/>
  <c r="AN24" i="1"/>
  <c r="K24" i="1"/>
  <c r="K23" i="1"/>
  <c r="J23" i="1"/>
  <c r="M23" i="1"/>
  <c r="N23" i="1"/>
  <c r="L23" i="1"/>
  <c r="AF22" i="1"/>
  <c r="N22" i="1"/>
  <c r="L22" i="1"/>
  <c r="AN22" i="1"/>
  <c r="K22" i="1"/>
  <c r="J22" i="1"/>
  <c r="O22" i="1" s="1"/>
  <c r="AG22" i="1"/>
  <c r="AI22" i="1"/>
  <c r="P22" i="1"/>
  <c r="AH22" i="1"/>
  <c r="AO22" i="1"/>
  <c r="R22" i="1"/>
  <c r="M22" i="1"/>
  <c r="Q22" i="1" s="1"/>
  <c r="J21" i="1"/>
  <c r="AO21" i="1"/>
  <c r="AI21" i="1"/>
  <c r="AG21" i="1"/>
  <c r="AF21" i="1"/>
  <c r="AN21" i="1"/>
  <c r="R21" i="1"/>
  <c r="AH21" i="1"/>
  <c r="N21" i="1"/>
  <c r="M21" i="1"/>
  <c r="Q21" i="1" s="1"/>
  <c r="L21" i="1"/>
  <c r="P21" i="1" s="1"/>
  <c r="K21" i="1"/>
  <c r="O21" i="1" s="1"/>
  <c r="AO20" i="1"/>
  <c r="AI20" i="1"/>
  <c r="AN20" i="1"/>
  <c r="AH20" i="1"/>
  <c r="AG20" i="1"/>
  <c r="AF20" i="1"/>
  <c r="R20" i="1"/>
  <c r="Q20" i="1"/>
  <c r="P20" i="1"/>
  <c r="N20" i="1"/>
  <c r="M20" i="1"/>
  <c r="L20" i="1"/>
  <c r="K20" i="1"/>
  <c r="J20" i="1"/>
  <c r="O20" i="1" s="1"/>
  <c r="R19" i="1"/>
  <c r="AI19" i="1"/>
  <c r="AN19" i="1"/>
  <c r="N19" i="1"/>
  <c r="M19" i="1"/>
  <c r="Q19" i="1" s="1"/>
  <c r="L19" i="1"/>
  <c r="K19" i="1"/>
  <c r="J19" i="1"/>
  <c r="AF19" i="1"/>
  <c r="AG19" i="1"/>
  <c r="AH19" i="1"/>
  <c r="P19" i="1"/>
  <c r="AO19" i="1"/>
  <c r="O19" i="1"/>
  <c r="R18" i="1"/>
  <c r="AF18" i="1"/>
  <c r="AG18" i="1"/>
  <c r="AH18" i="1"/>
  <c r="AI18" i="1"/>
  <c r="AN18" i="1"/>
  <c r="AO18" i="1"/>
  <c r="N18" i="1"/>
  <c r="M18" i="1"/>
  <c r="Q18" i="1" s="1"/>
  <c r="L18" i="1"/>
  <c r="P18" i="1" s="1"/>
  <c r="K18" i="1"/>
  <c r="J18" i="1"/>
  <c r="O18" i="1" s="1"/>
  <c r="R17" i="1"/>
  <c r="N17" i="1"/>
  <c r="M17" i="1"/>
  <c r="L17" i="1"/>
  <c r="K17" i="1"/>
  <c r="J17" i="1"/>
  <c r="O17" i="1" s="1"/>
  <c r="P17" i="1"/>
  <c r="Q17" i="1"/>
  <c r="AI16" i="1"/>
  <c r="AH16" i="1"/>
  <c r="AG16" i="1"/>
  <c r="AF16" i="1"/>
  <c r="AN16" i="1"/>
  <c r="AO16" i="1"/>
  <c r="R16" i="1"/>
  <c r="N16" i="1"/>
  <c r="M16" i="1"/>
  <c r="Q16" i="1" s="1"/>
  <c r="L16" i="1"/>
  <c r="P16" i="1" s="1"/>
  <c r="K16" i="1"/>
  <c r="J16" i="1"/>
  <c r="O16" i="1" s="1"/>
  <c r="N15" i="1"/>
  <c r="R15" i="1"/>
  <c r="J15" i="1"/>
  <c r="AO15" i="1"/>
  <c r="AN15" i="1"/>
  <c r="K15" i="1"/>
  <c r="AI15" i="1"/>
  <c r="M15" i="1"/>
  <c r="AH15" i="1"/>
  <c r="AG15" i="1"/>
  <c r="AF15" i="1"/>
  <c r="L15" i="1"/>
  <c r="O15" i="1"/>
  <c r="P15" i="1"/>
  <c r="Q15" i="1"/>
  <c r="AO14" i="1"/>
  <c r="L14" i="1"/>
  <c r="K14" i="1"/>
  <c r="J14" i="1"/>
  <c r="AF14" i="1"/>
  <c r="AG14" i="1"/>
  <c r="AH14" i="1"/>
  <c r="AI14" i="1"/>
  <c r="AN14" i="1"/>
  <c r="R14" i="1"/>
  <c r="M14" i="1"/>
  <c r="Q14" i="1" s="1"/>
  <c r="P14" i="1"/>
  <c r="O14" i="1"/>
  <c r="N14" i="1"/>
  <c r="L13" i="1"/>
  <c r="K13" i="1"/>
  <c r="AF13" i="1"/>
  <c r="AG13" i="1"/>
  <c r="AH13" i="1"/>
  <c r="AI13" i="1"/>
  <c r="AN13" i="1"/>
  <c r="AO13" i="1"/>
  <c r="R13" i="1"/>
  <c r="P13" i="1"/>
  <c r="N13" i="1"/>
  <c r="M13" i="1"/>
  <c r="Q13" i="1" s="1"/>
  <c r="J13" i="1"/>
  <c r="O13" i="1" s="1"/>
  <c r="L12" i="1"/>
  <c r="M12" i="1"/>
  <c r="N12" i="1"/>
  <c r="P12" i="1"/>
  <c r="AO12" i="1"/>
  <c r="Q12" i="1"/>
  <c r="R12" i="1"/>
  <c r="K12" i="1"/>
  <c r="AF12" i="1"/>
  <c r="AG12" i="1"/>
  <c r="AH12" i="1"/>
  <c r="AI12" i="1"/>
  <c r="J12" i="1"/>
  <c r="O12" i="1" s="1"/>
  <c r="AN12" i="1"/>
  <c r="AI11" i="1"/>
  <c r="J11" i="1"/>
  <c r="K11" i="1"/>
  <c r="L11" i="1"/>
  <c r="M11" i="1"/>
  <c r="Q11" i="1" s="1"/>
  <c r="N11" i="1"/>
  <c r="O11" i="1"/>
  <c r="P11" i="1"/>
  <c r="R11" i="1"/>
  <c r="AF11" i="1"/>
  <c r="AG11" i="1"/>
  <c r="AH11" i="1"/>
  <c r="AO10" i="1"/>
  <c r="AN10" i="1"/>
  <c r="J10" i="1"/>
  <c r="K10" i="1"/>
  <c r="O10" i="1" s="1"/>
  <c r="L10" i="1"/>
  <c r="M10" i="1"/>
  <c r="N10" i="1"/>
  <c r="P10" i="1"/>
  <c r="Q10" i="1"/>
  <c r="R10" i="1"/>
  <c r="AF10" i="1"/>
  <c r="AG10" i="1"/>
  <c r="AH10" i="1"/>
  <c r="AI10" i="1"/>
  <c r="AO9" i="1"/>
  <c r="AN9" i="1"/>
  <c r="J9" i="1"/>
  <c r="K9" i="1"/>
  <c r="L9" i="1"/>
  <c r="M9" i="1"/>
  <c r="Q9" i="1" s="1"/>
  <c r="N9" i="1"/>
  <c r="O9" i="1"/>
  <c r="P9" i="1"/>
  <c r="R9" i="1"/>
  <c r="AF9" i="1"/>
  <c r="AG9" i="1"/>
  <c r="AH9" i="1"/>
  <c r="AI9" i="1"/>
  <c r="AO8" i="1"/>
  <c r="J8" i="1"/>
  <c r="K8" i="1"/>
  <c r="O8" i="1" s="1"/>
  <c r="L8" i="1"/>
  <c r="M8" i="1"/>
  <c r="N8" i="1"/>
  <c r="P8" i="1"/>
  <c r="Q8" i="1"/>
  <c r="R8" i="1"/>
  <c r="AF8" i="1"/>
  <c r="AG8" i="1"/>
  <c r="AH8" i="1"/>
  <c r="AI8" i="1"/>
  <c r="AN8" i="1"/>
  <c r="J7" i="1"/>
  <c r="K7" i="1"/>
  <c r="O7" i="1" s="1"/>
  <c r="L7" i="1"/>
  <c r="P7" i="1" s="1"/>
  <c r="M7" i="1"/>
  <c r="Q7" i="1" s="1"/>
  <c r="N7" i="1"/>
  <c r="R7" i="1"/>
  <c r="AF7" i="1"/>
  <c r="AG7" i="1"/>
  <c r="AH7" i="1"/>
  <c r="AI7" i="1"/>
  <c r="AO7" i="1"/>
  <c r="AN7" i="1"/>
  <c r="AG6" i="1"/>
  <c r="M6" i="1"/>
  <c r="Q6" i="1" s="1"/>
  <c r="AH6" i="1"/>
  <c r="AF6" i="1"/>
  <c r="R6" i="1"/>
  <c r="AN6" i="1"/>
  <c r="AO6" i="1"/>
  <c r="N6" i="1"/>
  <c r="J6" i="1"/>
  <c r="O6" i="1" s="1"/>
  <c r="K6" i="1"/>
  <c r="L6" i="1"/>
  <c r="P6" i="1" s="1"/>
  <c r="AI6" i="1"/>
  <c r="G32" i="4"/>
  <c r="E32" i="4"/>
  <c r="H32" i="4"/>
  <c r="C32" i="4"/>
  <c r="D32" i="4" s="1"/>
  <c r="F32" i="4"/>
  <c r="H31" i="4"/>
  <c r="C31" i="4"/>
  <c r="D31" i="4" s="1"/>
  <c r="E31" i="4"/>
  <c r="F31" i="4"/>
  <c r="G31" i="4"/>
  <c r="E30" i="4"/>
  <c r="F30" i="4"/>
  <c r="G30" i="4"/>
  <c r="H30" i="4"/>
  <c r="C30" i="4"/>
  <c r="D30" i="4" s="1"/>
  <c r="E6" i="5"/>
  <c r="B8" i="5"/>
  <c r="E29" i="4"/>
  <c r="F29" i="4"/>
  <c r="G29" i="4"/>
  <c r="H29" i="4"/>
  <c r="C29" i="4"/>
  <c r="D29" i="4" s="1"/>
  <c r="D7" i="5" s="1"/>
  <c r="AO17" i="1"/>
  <c r="AO11" i="1"/>
  <c r="B11" i="5" l="1"/>
  <c r="E11" i="5"/>
  <c r="D11" i="5"/>
  <c r="D13" i="5" s="1"/>
  <c r="B7" i="5"/>
  <c r="E7" i="5"/>
</calcChain>
</file>

<file path=xl/sharedStrings.xml><?xml version="1.0" encoding="utf-8"?>
<sst xmlns="http://schemas.openxmlformats.org/spreadsheetml/2006/main" count="215" uniqueCount="120">
  <si>
    <t xml:space="preserve">Lieu - date - numéro projet : </t>
  </si>
  <si>
    <t>Numéro
de Cible</t>
  </si>
  <si>
    <t>Saisie libre des informations
de Localisation</t>
  </si>
  <si>
    <t>Choix du
type de cible
(liste)</t>
  </si>
  <si>
    <t>Saisie Distances parcours</t>
  </si>
  <si>
    <t>Rouge</t>
  </si>
  <si>
    <t>Bleu</t>
  </si>
  <si>
    <t>Blanc</t>
  </si>
  <si>
    <t>Rose</t>
  </si>
  <si>
    <t>mini</t>
  </si>
  <si>
    <t>maxi</t>
  </si>
  <si>
    <t>Exemple</t>
  </si>
  <si>
    <t>A droite grand chène</t>
  </si>
  <si>
    <t>Petit Animal</t>
  </si>
  <si>
    <t>Nb réglementaire répartition par type</t>
  </si>
  <si>
    <t>Nb effectif</t>
  </si>
  <si>
    <t>Contrôle Nb</t>
  </si>
  <si>
    <t>Moyenne</t>
  </si>
  <si>
    <t>ORGANISATEUR</t>
  </si>
  <si>
    <t>Total</t>
  </si>
  <si>
    <t>Fourchette réglementaire Rouge</t>
  </si>
  <si>
    <t>Contrôleur de zones marquantes</t>
  </si>
  <si>
    <t>± 2 mm</t>
  </si>
  <si>
    <t>Mesures en cm</t>
  </si>
  <si>
    <t>Rappel
Taille arc libre</t>
  </si>
  <si>
    <t>Rappel 
Taille hors libre</t>
  </si>
  <si>
    <t>Calcul des surfaces</t>
  </si>
  <si>
    <t xml:space="preserve"> Tué
(Arc Libre)</t>
  </si>
  <si>
    <t xml:space="preserve">Tué </t>
  </si>
  <si>
    <t>zone blessé</t>
  </si>
  <si>
    <t>Tué calculé
(Arc Libre)</t>
  </si>
  <si>
    <t>Tué calculé</t>
  </si>
  <si>
    <t>Zone blessé
calculée</t>
  </si>
  <si>
    <t>Ronde ?</t>
  </si>
  <si>
    <t>D</t>
  </si>
  <si>
    <t>L</t>
  </si>
  <si>
    <t>ARBITRE</t>
  </si>
  <si>
    <t xml:space="preserve">Règlements sportifs et Arbitrage </t>
  </si>
  <si>
    <t>Surface zone Blessé</t>
  </si>
  <si>
    <t>Surface Zone Tué</t>
  </si>
  <si>
    <t xml:space="preserve"> Tableau Règle Nature</t>
  </si>
  <si>
    <t>Mini</t>
  </si>
  <si>
    <t>Maxi</t>
  </si>
  <si>
    <t>Nbre de fois</t>
  </si>
  <si>
    <t>Arc Libre</t>
  </si>
  <si>
    <t>Hors Arc Libre</t>
  </si>
  <si>
    <t>Nature : 21 cibles</t>
  </si>
  <si>
    <t>Pas Rouge</t>
  </si>
  <si>
    <t>Pas bleu</t>
  </si>
  <si>
    <t>Pas Blanc</t>
  </si>
  <si>
    <t>Pas Rose</t>
  </si>
  <si>
    <t>Zone Ronde</t>
  </si>
  <si>
    <t>Zone Ovale</t>
  </si>
  <si>
    <t>Cible</t>
  </si>
  <si>
    <t xml:space="preserve">Nombre </t>
  </si>
  <si>
    <t>Petit Gibier</t>
  </si>
  <si>
    <t>Moyen Gibier</t>
  </si>
  <si>
    <t>Grand Gibier</t>
  </si>
  <si>
    <t>Total distance</t>
  </si>
  <si>
    <t>officiel</t>
  </si>
  <si>
    <t>Oui</t>
  </si>
  <si>
    <t>Non</t>
  </si>
  <si>
    <t>Pas Jaune compris entre</t>
  </si>
  <si>
    <t>et</t>
  </si>
  <si>
    <t>du pas rouge</t>
  </si>
  <si>
    <t>Pas de tir éloignés entre eux au maximum de</t>
  </si>
  <si>
    <t xml:space="preserve">Distance minimum du pas de tir blanc à la cible de </t>
  </si>
  <si>
    <t>&lt;----- Déployer les colonnes masquées pour le calculateur de zones marquantes (cibles non homologuées FFTA)</t>
  </si>
  <si>
    <t>Ratio calculé</t>
  </si>
  <si>
    <t>Surface blessée max</t>
  </si>
  <si>
    <t>Contrôle zones</t>
  </si>
  <si>
    <t>Ratio</t>
  </si>
  <si>
    <t>Max</t>
  </si>
  <si>
    <t>Statut</t>
  </si>
  <si>
    <t>ASSISTANT TERRAIN NATURE — SYNTHÈSE DE CONFORMITÉ 2027</t>
  </si>
  <si>
    <t>Projet / lieu / date</t>
  </si>
  <si>
    <t>CONTRÔLE</t>
  </si>
  <si>
    <t>VALEUR</t>
  </si>
  <si>
    <t>ATTENDU</t>
  </si>
  <si>
    <t>STATUT</t>
  </si>
  <si>
    <t>ANOMALIES</t>
  </si>
  <si>
    <t>RÉFÉRENCE</t>
  </si>
  <si>
    <t>PORTÉE</t>
  </si>
  <si>
    <t>COMMENTAIRE</t>
  </si>
  <si>
    <t>Cibles renseignées</t>
  </si>
  <si>
    <t>21</t>
  </si>
  <si>
    <t>II.5.B.1 / B.6.1</t>
  </si>
  <si>
    <t>Parcours</t>
  </si>
  <si>
    <t>Une ligne est renseignée dès qu'un type de cible est sélectionné.</t>
  </si>
  <si>
    <t>Répartition des types</t>
  </si>
  <si>
    <t>4 / 6 / 7 / 4</t>
  </si>
  <si>
    <t>II.5.B.6.1</t>
  </si>
  <si>
    <t>Petit animal / Petit gibier / Moyen gibier / Grand gibier.</t>
  </si>
  <si>
    <t>Distances individuelles</t>
  </si>
  <si>
    <t>R/B/B complets ; Rose 0 ou 21</t>
  </si>
  <si>
    <t>II.5.B.5</t>
  </si>
  <si>
    <t>Chaque cible</t>
  </si>
  <si>
    <t>Rouge selon type ; bleu/blanc/rose ≤ maxima réglementaires ; distance mini 5 m.</t>
  </si>
  <si>
    <t>Ordre / écart des piquets</t>
  </si>
  <si>
    <t>Ordre dégressif ; ≤7 m</t>
  </si>
  <si>
    <t>II.5.B.3</t>
  </si>
  <si>
    <t>Précontrôle par différence des distances cible-piquet. Vérifier le cheminement réel sur terrain si décalage latéral.</t>
  </si>
  <si>
    <t>Cumul des distances rouges</t>
  </si>
  <si>
    <t>525 à 550 m</t>
  </si>
  <si>
    <t>Somme des 21 distances du pas rouge aux cibles.</t>
  </si>
  <si>
    <t>Zones marquantes non homologuées</t>
  </si>
  <si>
    <t>Si mesurées : conformes</t>
  </si>
  <si>
    <t>II.5.B.6.2 à B.6.5</t>
  </si>
  <si>
    <t>Cible concernée</t>
  </si>
  <si>
    <t>Contrôle optionnel : dimensions des zones tué, surface blessée et ratio ; tolérance de traçage ±2 mm.</t>
  </si>
  <si>
    <t>STATUT GLOBAL DU PARCOURS</t>
  </si>
  <si>
    <t>Piquet rose : obligatoire si au moins un U11 est inscrit au plus tard 7 jours avant la compétition ; si aucun U11 n’est inscrit dans ce délai, laisser la colonne Rose vide.</t>
  </si>
  <si>
    <t>Le contrôle d’écart entre piquets est un précontrôle calculé à partir des distances à la cible. Le règlement impose ≤7 m par le cheminement normal entre pas successifs : vérifier sur le terrain si les piquets sont décalés latéralement.</t>
  </si>
  <si>
    <t>Le pas jaune doit précéder le premier pas rouge de 4 à 10 m par l’accès normal. Ce point n’est pas calculé automatiquement dans le présent classeur.</t>
  </si>
  <si>
    <r>
      <rPr>
        <sz val="10"/>
        <color rgb="FFFFFFFF"/>
        <rFont val="Helvetica Neue"/>
        <family val="2"/>
      </rPr>
      <t xml:space="preserve">Contrôle Distances
</t>
    </r>
    <r>
      <rPr>
        <b/>
        <sz val="10"/>
        <color rgb="FFFFFFFF"/>
        <rFont val="Calibri"/>
        <family val="2"/>
      </rPr>
      <t>inter-piquets</t>
    </r>
  </si>
  <si>
    <r>
      <rPr>
        <sz val="10"/>
        <color rgb="FFFFFFFF"/>
        <rFont val="Helvetica Neue"/>
        <family val="2"/>
      </rPr>
      <t xml:space="preserve">Rappel </t>
    </r>
    <r>
      <rPr>
        <b/>
        <sz val="10"/>
        <color rgb="FFFFFFFF"/>
        <rFont val="Calibri"/>
        <family val="2"/>
      </rPr>
      <t>distances</t>
    </r>
    <r>
      <rPr>
        <sz val="10"/>
        <color rgb="FFFFFFFF"/>
        <rFont val="Calibri"/>
        <family val="2"/>
      </rPr>
      <t xml:space="preserve">
selon choix type</t>
    </r>
  </si>
  <si>
    <r>
      <rPr>
        <sz val="10"/>
        <color rgb="FFFFFFFF"/>
        <rFont val="Helvetica Neue"/>
        <family val="2"/>
      </rPr>
      <t xml:space="preserve">Contrôle saisies
</t>
    </r>
    <r>
      <rPr>
        <b/>
        <sz val="10"/>
        <color rgb="FFFFFFFF"/>
        <rFont val="Calibri"/>
        <family val="2"/>
      </rPr>
      <t>distances des piquets</t>
    </r>
  </si>
  <si>
    <r>
      <rPr>
        <sz val="10"/>
        <color rgb="FFFFFFFF"/>
        <rFont val="Helvetica Neue"/>
        <family val="2"/>
      </rPr>
      <t xml:space="preserve">Saisie libre des informations de Cible.
</t>
    </r>
    <r>
      <rPr>
        <u/>
        <sz val="10"/>
        <color rgb="FFFFFFFF"/>
        <rFont val="Calibri"/>
        <family val="2"/>
      </rPr>
      <t>Reportées</t>
    </r>
    <r>
      <rPr>
        <sz val="10"/>
        <color rgb="FFFFFFFF"/>
        <rFont val="Calibri"/>
        <family val="2"/>
      </rPr>
      <t xml:space="preserve"> depuis l'onglet "Organisateur", si saisies</t>
    </r>
  </si>
  <si>
    <r>
      <rPr>
        <sz val="10"/>
        <color rgb="FFFFFFFF"/>
        <rFont val="Helvetica Neue"/>
        <family val="2"/>
      </rPr>
      <t xml:space="preserve">Choix du type
de cible (liste),
</t>
    </r>
    <r>
      <rPr>
        <u/>
        <sz val="10"/>
        <color rgb="FFFFFFFF"/>
        <rFont val="Calibri"/>
        <family val="2"/>
      </rPr>
      <t>reporté</t>
    </r>
    <r>
      <rPr>
        <sz val="10"/>
        <color rgb="FFFFFFFF"/>
        <rFont val="Calibri"/>
        <family val="2"/>
      </rPr>
      <t xml:space="preserve"> depuis "Organisateur",
si possible</t>
    </r>
  </si>
  <si>
    <r>
      <rPr>
        <sz val="10"/>
        <color rgb="FFFFFFFF"/>
        <rFont val="Helvetica Neue"/>
        <family val="2"/>
      </rPr>
      <t xml:space="preserve">Saisie Distances parcours
</t>
    </r>
    <r>
      <rPr>
        <u/>
        <sz val="10"/>
        <color rgb="FFFFFFFF"/>
        <rFont val="Calibri"/>
        <family val="2"/>
      </rPr>
      <t>reportées</t>
    </r>
    <r>
      <rPr>
        <sz val="10"/>
        <color rgb="FFFFFFFF"/>
        <rFont val="Calibri"/>
        <family val="2"/>
      </rPr>
      <t xml:space="preserve"> depuis "Organisateur", si possible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</si>
</sst>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m&quot;"/>
    <numFmt numFmtId="165" formatCode="#,##0.0&quot; cm&quot;"/>
    <numFmt numFmtId="166" formatCode="#,##0.0&quot; cm2&quot;"/>
    <numFmt numFmtId="167" formatCode="#,##0.0"/>
    <numFmt numFmtId="168" formatCode="#,##0&quot; cm2&quot;"/>
    <numFmt numFmtId="169" formatCode="0.0"/>
  </numFmts>
  <fonts count="60">
    <font>
      <sz val="10"/>
      <color indexed="8"/>
      <name val="Helvetica Neue"/>
    </font>
    <font>
      <sz val="12"/>
      <color indexed="8"/>
      <name val="Helvetica Neue"/>
    </font>
    <font>
      <sz val="10"/>
      <color indexed="9"/>
      <name val="Calibri"/>
    </font>
    <font>
      <b/>
      <sz val="10"/>
      <color indexed="13"/>
      <name val="Calibri"/>
    </font>
    <font>
      <b/>
      <sz val="10"/>
      <color indexed="9"/>
      <name val="Calibri"/>
    </font>
    <font>
      <sz val="10"/>
      <color indexed="13"/>
      <name val="Calibri"/>
    </font>
    <font>
      <sz val="10"/>
      <color indexed="8"/>
      <name val="Calibri"/>
    </font>
    <font>
      <b/>
      <sz val="10"/>
      <color indexed="13"/>
      <name val="Helvetica Neue"/>
    </font>
    <font>
      <sz val="8"/>
      <color indexed="8"/>
      <name val="Calibri"/>
    </font>
    <font>
      <sz val="9"/>
      <color indexed="9"/>
      <name val="Geneva"/>
    </font>
    <font>
      <sz val="12"/>
      <color indexed="9"/>
      <name val="Calibri"/>
    </font>
    <font>
      <sz val="12"/>
      <color indexed="8"/>
      <name val="Calibri"/>
    </font>
    <font>
      <sz val="9"/>
      <color indexed="8"/>
      <name val="Geneva"/>
    </font>
    <font>
      <sz val="10"/>
      <color indexed="8"/>
      <name val="Calibri"/>
    </font>
    <font>
      <b/>
      <sz val="10"/>
      <color theme="0"/>
      <name val="Calibri"/>
    </font>
    <font>
      <b/>
      <sz val="10"/>
      <color rgb="FFC00000"/>
      <name val="Helvetica Neue"/>
    </font>
    <font>
      <b/>
      <sz val="10"/>
      <color theme="1"/>
      <name val="Helvetica Neue"/>
    </font>
    <font>
      <b/>
      <sz val="10"/>
      <color theme="1"/>
      <name val="Calibri"/>
    </font>
    <font>
      <sz val="10"/>
      <color indexed="9"/>
      <name val="Calibri"/>
    </font>
    <font>
      <sz val="10"/>
      <name val="Calibri"/>
    </font>
    <font>
      <b/>
      <sz val="10"/>
      <name val="Calibri"/>
    </font>
    <font>
      <b/>
      <sz val="10"/>
      <name val="Helvetica Neue"/>
    </font>
    <font>
      <sz val="9"/>
      <color indexed="9"/>
      <name val="Geneva"/>
    </font>
    <font>
      <b/>
      <sz val="9"/>
      <color indexed="8"/>
      <name val="Calibri"/>
    </font>
    <font>
      <sz val="10"/>
      <color rgb="FFFF0000"/>
      <name val="Calibri"/>
    </font>
    <font>
      <sz val="12"/>
      <color theme="0"/>
      <name val="Calibri"/>
    </font>
    <font>
      <sz val="12"/>
      <name val="Calibri"/>
    </font>
    <font>
      <b/>
      <sz val="9"/>
      <color rgb="FFFF0000"/>
      <name val="Geneva"/>
    </font>
    <font>
      <sz val="10"/>
      <color indexed="8"/>
      <name val="Helvetica Neue"/>
    </font>
    <font>
      <b/>
      <sz val="12"/>
      <color indexed="8"/>
      <name val="Helvetica Neue"/>
    </font>
    <font>
      <sz val="10"/>
      <color theme="0"/>
      <name val="Helvetica Neue"/>
    </font>
    <font>
      <sz val="10"/>
      <color rgb="FF0070C0"/>
      <name val="Helvetica Neue"/>
    </font>
    <font>
      <b/>
      <sz val="10"/>
      <color rgb="FF0070C0"/>
      <name val="Helvetica Neue"/>
    </font>
    <font>
      <b/>
      <i/>
      <sz val="10"/>
      <color theme="0"/>
      <name val="Helv"/>
    </font>
    <font>
      <b/>
      <sz val="10"/>
      <color indexed="8"/>
      <name val="Helvetica Neue"/>
    </font>
    <font>
      <b/>
      <sz val="12"/>
      <color indexed="8"/>
      <name val="Calibri"/>
    </font>
    <font>
      <b/>
      <sz val="12"/>
      <color theme="6" tint="-0.249977111117893"/>
      <name val="Helvetica Neue"/>
    </font>
    <font>
      <b/>
      <i/>
      <sz val="10"/>
      <color indexed="8"/>
      <name val="Helvetica Neue"/>
    </font>
    <font>
      <i/>
      <sz val="10"/>
      <color indexed="8"/>
      <name val="Helvetica Neue"/>
    </font>
    <font>
      <sz val="10"/>
      <color theme="1"/>
      <name val="Helvetica Neue"/>
    </font>
    <font>
      <sz val="10"/>
      <name val="Helvetica Neue"/>
    </font>
    <font>
      <sz val="28"/>
      <color indexed="8"/>
      <name val="Helvetica Neue"/>
    </font>
    <font>
      <sz val="10"/>
      <color rgb="FFFF0000"/>
      <name val="Helvetica Neue"/>
    </font>
    <font>
      <b/>
      <sz val="10"/>
      <color theme="9"/>
      <name val="Helvetica Neue"/>
    </font>
    <font>
      <b/>
      <sz val="18"/>
      <color rgb="FFFFFFFF"/>
      <name val="Helvetica Neue"/>
    </font>
    <font>
      <b/>
      <sz val="10"/>
      <color rgb="FFFFFFFF"/>
      <name val="Helvetica Neue"/>
    </font>
    <font>
      <b/>
      <sz val="14"/>
      <color rgb="FFFFFFFF"/>
      <name val="Helvetica Neue"/>
    </font>
    <font>
      <i/>
      <sz val="9"/>
      <color rgb="FF44546A"/>
      <name val="Helvetica Neue"/>
    </font>
    <font>
      <b/>
      <sz val="9"/>
      <color rgb="FF274E13"/>
      <name val="Helvetica Neue"/>
    </font>
    <font>
      <sz val="10"/>
      <color indexed="9"/>
      <name val="Calibri"/>
      <family val="2"/>
    </font>
    <font>
      <sz val="10"/>
      <color rgb="FFFFFFFF"/>
      <name val="Helvetica Neue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u/>
      <sz val="10"/>
      <color rgb="FFFFFFFF"/>
      <name val="Calibri"/>
      <family val="2"/>
    </font>
    <font>
      <b/>
      <sz val="14"/>
      <color rgb="FF1F1F1F"/>
      <name val="Helvetica Neue"/>
      <family val="2"/>
    </font>
    <font>
      <b/>
      <sz val="10"/>
      <color rgb="FFFF0000"/>
      <name val="Helvetica Neue"/>
      <family val="2"/>
    </font>
    <font>
      <b/>
      <sz val="10"/>
      <color theme="4" tint="-0.499984740745262"/>
      <name val="Helvetica Neue"/>
      <family val="2"/>
    </font>
    <font>
      <b/>
      <sz val="10"/>
      <name val="Helvetica Neue"/>
      <family val="2"/>
    </font>
    <font>
      <b/>
      <sz val="10"/>
      <color theme="9"/>
      <name val="Helvetica Neue"/>
      <family val="2"/>
    </font>
    <font>
      <b/>
      <sz val="9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8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0000"/>
      </patternFill>
    </fill>
    <fill>
      <patternFill patternType="solid">
        <fgColor theme="4"/>
      </patternFill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92D05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3" tint="0.59996337778862885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C000"/>
      </patternFill>
    </fill>
    <fill>
      <patternFill patternType="solid">
        <fgColor rgb="FFEAF2F8"/>
      </patternFill>
    </fill>
    <fill>
      <patternFill patternType="solid">
        <fgColor rgb="FFD9EAD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15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1"/>
      </bottom>
      <diagonal/>
    </border>
    <border>
      <left style="medium">
        <color indexed="64"/>
      </left>
      <right/>
      <top style="thin">
        <color indexed="11"/>
      </top>
      <bottom style="thin">
        <color indexed="11"/>
      </bottom>
      <diagonal/>
    </border>
    <border>
      <left style="medium">
        <color indexed="64"/>
      </left>
      <right/>
      <top style="thin">
        <color indexed="1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1"/>
      </bottom>
      <diagonal/>
    </border>
    <border>
      <left style="medium">
        <color indexed="64"/>
      </left>
      <right style="thin">
        <color indexed="8"/>
      </right>
      <top style="thin">
        <color indexed="1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5"/>
      </bottom>
      <diagonal/>
    </border>
    <border>
      <left style="thin">
        <color indexed="11"/>
      </left>
      <right/>
      <top style="thin">
        <color indexed="15"/>
      </top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A9D18E"/>
      </left>
      <right style="thin">
        <color rgb="FFA9D18E"/>
      </right>
      <top style="thin">
        <color rgb="FFA9D18E"/>
      </top>
      <bottom/>
      <diagonal/>
    </border>
    <border>
      <left style="thin">
        <color rgb="FFA9D18E"/>
      </left>
      <right style="thin">
        <color rgb="FFA9D18E"/>
      </right>
      <top/>
      <bottom/>
      <diagonal/>
    </border>
    <border>
      <left style="thin">
        <color rgb="FFA9D18E"/>
      </left>
      <right style="thin">
        <color rgb="FFA9D18E"/>
      </right>
      <top/>
      <bottom style="thin">
        <color rgb="FFA9D18E"/>
      </bottom>
      <diagonal/>
    </border>
    <border>
      <left style="thin">
        <color rgb="FFA9D18E"/>
      </left>
      <right style="thin">
        <color rgb="FFA9D18E"/>
      </right>
      <top/>
      <bottom style="thin">
        <color indexed="64"/>
      </bottom>
      <diagonal/>
    </border>
    <border>
      <left style="thin">
        <color rgb="FFA9D18E"/>
      </left>
      <right style="thin">
        <color rgb="FFA9D18E"/>
      </right>
      <top style="thin">
        <color indexed="64"/>
      </top>
      <bottom style="thin">
        <color rgb="FFA9D18E"/>
      </bottom>
      <diagonal/>
    </border>
    <border>
      <left/>
      <right style="medium">
        <color indexed="64"/>
      </right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2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0" fillId="2" borderId="1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0" fillId="0" borderId="4" xfId="0" applyNumberFormat="1" applyBorder="1">
      <alignment vertical="top" wrapText="1"/>
    </xf>
    <xf numFmtId="49" fontId="14" fillId="5" borderId="17" xfId="0" applyNumberFormat="1" applyFont="1" applyFill="1" applyBorder="1" applyAlignment="1">
      <alignment horizontal="center" vertical="center"/>
    </xf>
    <xf numFmtId="0" fontId="4" fillId="4" borderId="27" xfId="0" applyNumberFormat="1" applyFont="1" applyFill="1" applyBorder="1" applyAlignment="1">
      <alignment horizontal="center" vertical="center" wrapText="1"/>
    </xf>
    <xf numFmtId="0" fontId="4" fillId="4" borderId="2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2" fillId="4" borderId="41" xfId="0" applyNumberFormat="1" applyFont="1" applyFill="1" applyBorder="1" applyAlignment="1">
      <alignment horizontal="center" vertical="center" wrapText="1"/>
    </xf>
    <xf numFmtId="49" fontId="2" fillId="4" borderId="27" xfId="0" applyNumberFormat="1" applyFont="1" applyFill="1" applyBorder="1" applyAlignment="1">
      <alignment horizontal="center" vertical="center" wrapText="1"/>
    </xf>
    <xf numFmtId="49" fontId="2" fillId="4" borderId="28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0" fontId="0" fillId="4" borderId="10" xfId="0" applyNumberFormat="1" applyFill="1" applyBorder="1" applyAlignment="1">
      <alignment horizontal="center" vertical="top" wrapText="1"/>
    </xf>
    <xf numFmtId="0" fontId="0" fillId="0" borderId="31" xfId="0" applyNumberFormat="1" applyBorder="1">
      <alignment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2" fillId="0" borderId="45" xfId="0" applyNumberFormat="1" applyFont="1" applyFill="1" applyBorder="1" applyAlignment="1">
      <alignment horizontal="center" vertical="center" wrapText="1"/>
    </xf>
    <xf numFmtId="0" fontId="2" fillId="0" borderId="46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4" fillId="5" borderId="48" xfId="0" applyNumberFormat="1" applyFont="1" applyFill="1" applyBorder="1" applyAlignment="1">
      <alignment horizontal="center" vertical="center"/>
    </xf>
    <xf numFmtId="49" fontId="14" fillId="6" borderId="49" xfId="0" applyNumberFormat="1" applyFont="1" applyFill="1" applyBorder="1" applyAlignment="1">
      <alignment horizontal="center" vertical="center"/>
    </xf>
    <xf numFmtId="49" fontId="17" fillId="7" borderId="50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42" xfId="0" applyNumberFormat="1" applyFont="1" applyFill="1" applyBorder="1" applyAlignment="1">
      <alignment horizontal="center" vertical="center" wrapText="1"/>
    </xf>
    <xf numFmtId="49" fontId="23" fillId="0" borderId="43" xfId="0" applyNumberFormat="1" applyFont="1" applyFill="1" applyBorder="1" applyAlignment="1">
      <alignment horizontal="center" vertical="center" wrapText="1"/>
    </xf>
    <xf numFmtId="49" fontId="23" fillId="0" borderId="44" xfId="0" applyNumberFormat="1" applyFont="1" applyFill="1" applyBorder="1" applyAlignment="1">
      <alignment horizontal="center" vertical="center" wrapText="1"/>
    </xf>
    <xf numFmtId="0" fontId="8" fillId="4" borderId="9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center" vertical="center" wrapText="1"/>
    </xf>
    <xf numFmtId="0" fontId="8" fillId="4" borderId="24" xfId="0" applyNumberFormat="1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1" borderId="15" xfId="0" applyNumberFormat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0" fontId="28" fillId="0" borderId="0" xfId="0" applyNumberFormat="1" applyFont="1">
      <alignment vertical="top" wrapText="1"/>
    </xf>
    <xf numFmtId="0" fontId="28" fillId="10" borderId="25" xfId="0" applyNumberFormat="1" applyFont="1" applyFill="1" applyBorder="1" applyAlignment="1">
      <alignment horizontal="center" vertical="top" wrapText="1"/>
    </xf>
    <xf numFmtId="0" fontId="31" fillId="10" borderId="56" xfId="0" applyNumberFormat="1" applyFont="1" applyFill="1" applyBorder="1" applyAlignment="1">
      <alignment horizontal="center" vertical="top" wrapText="1"/>
    </xf>
    <xf numFmtId="0" fontId="31" fillId="10" borderId="57" xfId="0" applyNumberFormat="1" applyFont="1" applyFill="1" applyBorder="1" applyAlignment="1">
      <alignment horizontal="center" vertical="top" wrapText="1"/>
    </xf>
    <xf numFmtId="0" fontId="31" fillId="10" borderId="59" xfId="0" applyNumberFormat="1" applyFont="1" applyFill="1" applyBorder="1" applyAlignment="1">
      <alignment horizontal="center" vertical="top" wrapText="1"/>
    </xf>
    <xf numFmtId="0" fontId="31" fillId="12" borderId="9" xfId="0" applyNumberFormat="1" applyFont="1" applyFill="1" applyBorder="1" applyAlignment="1">
      <alignment horizontal="center" vertical="top" wrapText="1"/>
    </xf>
    <xf numFmtId="0" fontId="28" fillId="0" borderId="32" xfId="0" applyNumberFormat="1" applyFont="1" applyBorder="1">
      <alignment vertical="top" wrapText="1"/>
    </xf>
    <xf numFmtId="0" fontId="31" fillId="12" borderId="20" xfId="0" applyNumberFormat="1" applyFont="1" applyFill="1" applyBorder="1" applyAlignment="1">
      <alignment horizontal="center" vertical="top" wrapText="1"/>
    </xf>
    <xf numFmtId="0" fontId="31" fillId="12" borderId="21" xfId="0" applyNumberFormat="1" applyFont="1" applyFill="1" applyBorder="1" applyAlignment="1">
      <alignment horizontal="center" vertical="top" wrapText="1"/>
    </xf>
    <xf numFmtId="0" fontId="31" fillId="12" borderId="20" xfId="0" applyNumberFormat="1" applyFont="1" applyFill="1" applyBorder="1" applyAlignment="1">
      <alignment horizontal="center" vertical="center" wrapText="1"/>
    </xf>
    <xf numFmtId="0" fontId="31" fillId="12" borderId="9" xfId="0" applyNumberFormat="1" applyFont="1" applyFill="1" applyBorder="1" applyAlignment="1">
      <alignment horizontal="center" vertical="center" wrapText="1"/>
    </xf>
    <xf numFmtId="164" fontId="6" fillId="4" borderId="38" xfId="0" applyNumberFormat="1" applyFont="1" applyFill="1" applyBorder="1" applyAlignment="1">
      <alignment horizontal="center" vertical="center"/>
    </xf>
    <xf numFmtId="164" fontId="6" fillId="4" borderId="39" xfId="0" applyNumberFormat="1" applyFont="1" applyFill="1" applyBorder="1" applyAlignment="1">
      <alignment horizontal="center" vertical="center"/>
    </xf>
    <xf numFmtId="164" fontId="15" fillId="8" borderId="16" xfId="0" applyNumberFormat="1" applyFont="1" applyFill="1" applyBorder="1" applyAlignment="1">
      <alignment horizontal="center" vertical="center" wrapText="1"/>
    </xf>
    <xf numFmtId="164" fontId="7" fillId="9" borderId="16" xfId="0" applyNumberFormat="1" applyFont="1" applyFill="1" applyBorder="1" applyAlignment="1">
      <alignment horizontal="center" vertical="center" wrapText="1"/>
    </xf>
    <xf numFmtId="164" fontId="16" fillId="7" borderId="16" xfId="0" applyNumberFormat="1" applyFont="1" applyFill="1" applyBorder="1" applyAlignment="1">
      <alignment horizontal="center" vertical="center" wrapText="1"/>
    </xf>
    <xf numFmtId="164" fontId="15" fillId="8" borderId="26" xfId="0" applyNumberFormat="1" applyFont="1" applyFill="1" applyBorder="1" applyAlignment="1">
      <alignment horizontal="center" vertical="center" wrapText="1"/>
    </xf>
    <xf numFmtId="164" fontId="7" fillId="9" borderId="26" xfId="0" applyNumberFormat="1" applyFont="1" applyFill="1" applyBorder="1" applyAlignment="1">
      <alignment horizontal="center" vertical="center" wrapText="1"/>
    </xf>
    <xf numFmtId="164" fontId="16" fillId="7" borderId="26" xfId="0" applyNumberFormat="1" applyFont="1" applyFill="1" applyBorder="1" applyAlignment="1">
      <alignment horizontal="center" vertical="center" wrapText="1"/>
    </xf>
    <xf numFmtId="164" fontId="15" fillId="8" borderId="10" xfId="0" applyNumberFormat="1" applyFont="1" applyFill="1" applyBorder="1" applyAlignment="1">
      <alignment horizontal="center" vertical="center" wrapText="1"/>
    </xf>
    <xf numFmtId="164" fontId="7" fillId="9" borderId="10" xfId="0" applyNumberFormat="1" applyFont="1" applyFill="1" applyBorder="1" applyAlignment="1">
      <alignment horizontal="center" vertical="center" wrapText="1"/>
    </xf>
    <xf numFmtId="164" fontId="16" fillId="7" borderId="10" xfId="0" applyNumberFormat="1" applyFont="1" applyFill="1" applyBorder="1" applyAlignment="1">
      <alignment horizontal="center" vertical="center" wrapText="1"/>
    </xf>
    <xf numFmtId="164" fontId="6" fillId="11" borderId="18" xfId="0" applyNumberFormat="1" applyFont="1" applyFill="1" applyBorder="1" applyAlignment="1">
      <alignment horizontal="center" vertical="center" wrapText="1"/>
    </xf>
    <xf numFmtId="164" fontId="6" fillId="11" borderId="15" xfId="0" applyNumberFormat="1" applyFont="1" applyFill="1" applyBorder="1" applyAlignment="1">
      <alignment horizontal="center" vertical="center" wrapText="1"/>
    </xf>
    <xf numFmtId="164" fontId="6" fillId="4" borderId="18" xfId="0" applyNumberFormat="1" applyFont="1" applyFill="1" applyBorder="1" applyAlignment="1">
      <alignment horizontal="center" vertical="center" wrapText="1"/>
    </xf>
    <xf numFmtId="164" fontId="6" fillId="4" borderId="15" xfId="0" applyNumberFormat="1" applyFont="1" applyFill="1" applyBorder="1" applyAlignment="1">
      <alignment horizontal="center" vertical="center" wrapText="1"/>
    </xf>
    <xf numFmtId="164" fontId="6" fillId="4" borderId="20" xfId="0" applyNumberFormat="1" applyFont="1" applyFill="1" applyBorder="1" applyAlignment="1">
      <alignment horizontal="center" vertical="center" wrapText="1"/>
    </xf>
    <xf numFmtId="164" fontId="6" fillId="4" borderId="9" xfId="0" applyNumberFormat="1" applyFont="1" applyFill="1" applyBorder="1" applyAlignment="1">
      <alignment horizontal="center" vertical="center" wrapText="1"/>
    </xf>
    <xf numFmtId="164" fontId="6" fillId="4" borderId="22" xfId="0" applyNumberFormat="1" applyFont="1" applyFill="1" applyBorder="1" applyAlignment="1">
      <alignment horizontal="center" vertical="center" wrapText="1"/>
    </xf>
    <xf numFmtId="164" fontId="6" fillId="4" borderId="23" xfId="0" applyNumberFormat="1" applyFont="1" applyFill="1" applyBorder="1" applyAlignment="1">
      <alignment horizontal="center" vertical="center" wrapText="1"/>
    </xf>
    <xf numFmtId="0" fontId="28" fillId="0" borderId="20" xfId="0" applyNumberFormat="1" applyFon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 wrapText="1"/>
    </xf>
    <xf numFmtId="165" fontId="0" fillId="11" borderId="20" xfId="0" applyNumberFormat="1" applyFill="1" applyBorder="1" applyAlignment="1">
      <alignment horizontal="center" vertical="center" wrapText="1"/>
    </xf>
    <xf numFmtId="165" fontId="0" fillId="11" borderId="9" xfId="0" applyNumberFormat="1" applyFill="1" applyBorder="1" applyAlignment="1">
      <alignment horizontal="center" vertical="center" wrapText="1"/>
    </xf>
    <xf numFmtId="165" fontId="0" fillId="11" borderId="21" xfId="0" applyNumberFormat="1" applyFill="1" applyBorder="1" applyAlignment="1">
      <alignment horizontal="center" vertical="center" wrapText="1"/>
    </xf>
    <xf numFmtId="166" fontId="0" fillId="4" borderId="20" xfId="0" applyNumberFormat="1" applyFill="1" applyBorder="1" applyAlignment="1">
      <alignment vertical="center" wrapText="1"/>
    </xf>
    <xf numFmtId="166" fontId="0" fillId="4" borderId="9" xfId="0" applyNumberFormat="1" applyFill="1" applyBorder="1" applyAlignment="1">
      <alignment vertical="center" wrapText="1"/>
    </xf>
    <xf numFmtId="166" fontId="0" fillId="4" borderId="21" xfId="0" applyNumberFormat="1" applyFill="1" applyBorder="1" applyAlignment="1">
      <alignment vertical="center" wrapText="1"/>
    </xf>
    <xf numFmtId="0" fontId="28" fillId="0" borderId="20" xfId="0" applyNumberFormat="1" applyFont="1" applyBorder="1" applyAlignment="1">
      <alignment vertical="center" wrapText="1"/>
    </xf>
    <xf numFmtId="165" fontId="0" fillId="0" borderId="9" xfId="0" applyNumberFormat="1" applyBorder="1" applyAlignment="1">
      <alignment vertical="center" wrapText="1"/>
    </xf>
    <xf numFmtId="165" fontId="0" fillId="0" borderId="11" xfId="0" applyNumberFormat="1" applyBorder="1" applyAlignment="1">
      <alignment vertical="center" wrapText="1"/>
    </xf>
    <xf numFmtId="165" fontId="0" fillId="4" borderId="20" xfId="0" applyNumberFormat="1" applyFill="1" applyBorder="1" applyAlignment="1">
      <alignment vertical="center" wrapText="1"/>
    </xf>
    <xf numFmtId="165" fontId="0" fillId="4" borderId="9" xfId="0" applyNumberFormat="1" applyFill="1" applyBorder="1" applyAlignment="1">
      <alignment vertical="center" wrapText="1"/>
    </xf>
    <xf numFmtId="165" fontId="0" fillId="4" borderId="21" xfId="0" applyNumberFormat="1" applyFill="1" applyBorder="1" applyAlignment="1">
      <alignment vertical="center" wrapText="1"/>
    </xf>
    <xf numFmtId="0" fontId="28" fillId="0" borderId="22" xfId="0" applyNumberFormat="1" applyFont="1" applyBorder="1" applyAlignment="1">
      <alignment vertical="center" wrapText="1"/>
    </xf>
    <xf numFmtId="165" fontId="0" fillId="0" borderId="23" xfId="0" applyNumberFormat="1" applyBorder="1" applyAlignment="1">
      <alignment vertical="center" wrapText="1"/>
    </xf>
    <xf numFmtId="165" fontId="0" fillId="0" borderId="53" xfId="0" applyNumberFormat="1" applyBorder="1" applyAlignment="1">
      <alignment vertical="center" wrapText="1"/>
    </xf>
    <xf numFmtId="165" fontId="0" fillId="4" borderId="22" xfId="0" applyNumberFormat="1" applyFill="1" applyBorder="1" applyAlignment="1">
      <alignment vertical="center" wrapText="1"/>
    </xf>
    <xf numFmtId="165" fontId="0" fillId="4" borderId="23" xfId="0" applyNumberFormat="1" applyFill="1" applyBorder="1" applyAlignment="1">
      <alignment vertical="center" wrapText="1"/>
    </xf>
    <xf numFmtId="165" fontId="0" fillId="4" borderId="24" xfId="0" applyNumberFormat="1" applyFill="1" applyBorder="1" applyAlignment="1">
      <alignment vertical="center" wrapText="1"/>
    </xf>
    <xf numFmtId="166" fontId="0" fillId="4" borderId="22" xfId="0" applyNumberFormat="1" applyFill="1" applyBorder="1" applyAlignment="1">
      <alignment vertical="center" wrapText="1"/>
    </xf>
    <xf numFmtId="166" fontId="0" fillId="4" borderId="23" xfId="0" applyNumberFormat="1" applyFill="1" applyBorder="1" applyAlignment="1">
      <alignment vertical="center" wrapText="1"/>
    </xf>
    <xf numFmtId="166" fontId="0" fillId="4" borderId="24" xfId="0" applyNumberFormat="1" applyFill="1" applyBorder="1" applyAlignment="1">
      <alignment vertical="center" wrapText="1"/>
    </xf>
    <xf numFmtId="167" fontId="0" fillId="11" borderId="20" xfId="0" applyNumberFormat="1" applyFill="1" applyBorder="1" applyAlignment="1">
      <alignment horizontal="center" vertical="center" wrapText="1"/>
    </xf>
    <xf numFmtId="167" fontId="0" fillId="11" borderId="9" xfId="0" applyNumberFormat="1" applyFill="1" applyBorder="1" applyAlignment="1">
      <alignment horizontal="center" vertical="center" wrapText="1"/>
    </xf>
    <xf numFmtId="167" fontId="0" fillId="11" borderId="21" xfId="0" applyNumberFormat="1" applyFill="1" applyBorder="1" applyAlignment="1">
      <alignment horizontal="center" vertical="center" wrapText="1"/>
    </xf>
    <xf numFmtId="167" fontId="0" fillId="4" borderId="20" xfId="0" applyNumberFormat="1" applyFill="1" applyBorder="1" applyAlignment="1">
      <alignment horizontal="center" vertical="center" wrapText="1"/>
    </xf>
    <xf numFmtId="167" fontId="0" fillId="4" borderId="9" xfId="0" applyNumberFormat="1" applyFill="1" applyBorder="1" applyAlignment="1">
      <alignment horizontal="center" vertical="center" wrapText="1"/>
    </xf>
    <xf numFmtId="167" fontId="0" fillId="4" borderId="21" xfId="0" applyNumberFormat="1" applyFill="1" applyBorder="1" applyAlignment="1">
      <alignment horizontal="center" vertical="center" wrapText="1"/>
    </xf>
    <xf numFmtId="167" fontId="0" fillId="4" borderId="22" xfId="0" applyNumberFormat="1" applyFill="1" applyBorder="1" applyAlignment="1">
      <alignment horizontal="center" vertical="center" wrapText="1"/>
    </xf>
    <xf numFmtId="167" fontId="0" fillId="4" borderId="23" xfId="0" applyNumberFormat="1" applyFill="1" applyBorder="1" applyAlignment="1">
      <alignment horizontal="center" vertical="center" wrapText="1"/>
    </xf>
    <xf numFmtId="167" fontId="0" fillId="4" borderId="24" xfId="0" applyNumberFormat="1" applyFill="1" applyBorder="1" applyAlignment="1">
      <alignment horizontal="center" vertical="center" wrapText="1"/>
    </xf>
    <xf numFmtId="164" fontId="11" fillId="8" borderId="3" xfId="0" applyNumberFormat="1" applyFont="1" applyFill="1" applyBorder="1" applyAlignment="1">
      <alignment horizontal="center" vertical="center"/>
    </xf>
    <xf numFmtId="164" fontId="11" fillId="9" borderId="3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33" fillId="5" borderId="3" xfId="0" applyNumberFormat="1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49" fontId="35" fillId="0" borderId="3" xfId="0" applyNumberFormat="1" applyFont="1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center" vertical="center" wrapText="1"/>
    </xf>
    <xf numFmtId="168" fontId="0" fillId="0" borderId="3" xfId="0" applyNumberFormat="1" applyBorder="1" applyAlignment="1">
      <alignment horizontal="center" vertical="center" wrapText="1"/>
    </xf>
    <xf numFmtId="168" fontId="0" fillId="0" borderId="3" xfId="0" applyNumberFormat="1" applyFill="1" applyBorder="1" applyAlignment="1">
      <alignment horizontal="center" vertical="center" wrapText="1"/>
    </xf>
    <xf numFmtId="49" fontId="26" fillId="4" borderId="65" xfId="0" applyNumberFormat="1" applyFont="1" applyFill="1" applyBorder="1" applyAlignment="1">
      <alignment horizontal="center" vertical="center"/>
    </xf>
    <xf numFmtId="49" fontId="11" fillId="0" borderId="66" xfId="0" applyNumberFormat="1" applyFont="1" applyBorder="1" applyAlignment="1">
      <alignment horizontal="center" vertical="center"/>
    </xf>
    <xf numFmtId="168" fontId="0" fillId="0" borderId="63" xfId="0" applyNumberFormat="1" applyBorder="1" applyAlignment="1">
      <alignment horizontal="center" vertical="center" wrapText="1"/>
    </xf>
    <xf numFmtId="0" fontId="0" fillId="0" borderId="63" xfId="0" applyNumberForma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/>
    </xf>
    <xf numFmtId="164" fontId="37" fillId="0" borderId="0" xfId="0" applyNumberFormat="1" applyFont="1" applyAlignment="1">
      <alignment vertical="center" wrapText="1"/>
    </xf>
    <xf numFmtId="0" fontId="37" fillId="0" borderId="0" xfId="0" applyNumberFormat="1" applyFont="1" applyAlignment="1">
      <alignment horizontal="center" vertical="center" wrapText="1"/>
    </xf>
    <xf numFmtId="0" fontId="38" fillId="0" borderId="0" xfId="0" applyNumberFormat="1" applyFont="1">
      <alignment vertical="top" wrapText="1"/>
    </xf>
    <xf numFmtId="49" fontId="22" fillId="3" borderId="7" xfId="0" applyNumberFormat="1" applyFont="1" applyFill="1" applyBorder="1" applyAlignment="1">
      <alignment horizontal="center" vertical="center"/>
    </xf>
    <xf numFmtId="168" fontId="39" fillId="0" borderId="3" xfId="0" applyNumberFormat="1" applyFont="1" applyFill="1" applyBorder="1" applyAlignment="1">
      <alignment horizontal="center" vertical="center" wrapText="1"/>
    </xf>
    <xf numFmtId="0" fontId="39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>
      <alignment vertical="top" wrapText="1"/>
    </xf>
    <xf numFmtId="0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top" wrapText="1"/>
    </xf>
    <xf numFmtId="165" fontId="0" fillId="0" borderId="4" xfId="0" applyNumberFormat="1" applyFill="1" applyBorder="1" applyAlignment="1">
      <alignment horizontal="center" vertical="center" wrapText="1"/>
    </xf>
    <xf numFmtId="166" fontId="0" fillId="0" borderId="4" xfId="0" applyNumberFormat="1" applyFill="1" applyBorder="1" applyAlignment="1">
      <alignment vertical="center" wrapText="1"/>
    </xf>
    <xf numFmtId="167" fontId="0" fillId="0" borderId="4" xfId="0" applyNumberForma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vertical="center" wrapText="1"/>
    </xf>
    <xf numFmtId="49" fontId="0" fillId="11" borderId="72" xfId="0" applyNumberFormat="1" applyFill="1" applyBorder="1" applyAlignment="1">
      <alignment horizontal="left" vertical="center" wrapText="1"/>
    </xf>
    <xf numFmtId="49" fontId="24" fillId="11" borderId="72" xfId="0" applyNumberFormat="1" applyFont="1" applyFill="1" applyBorder="1" applyAlignment="1">
      <alignment horizontal="center" vertical="center" wrapText="1"/>
    </xf>
    <xf numFmtId="164" fontId="7" fillId="11" borderId="72" xfId="0" applyNumberFormat="1" applyFont="1" applyFill="1" applyBorder="1" applyAlignment="1">
      <alignment horizontal="center" vertical="center" wrapText="1"/>
    </xf>
    <xf numFmtId="164" fontId="16" fillId="11" borderId="72" xfId="0" applyNumberFormat="1" applyFont="1" applyFill="1" applyBorder="1" applyAlignment="1">
      <alignment horizontal="center" vertical="center" wrapText="1"/>
    </xf>
    <xf numFmtId="0" fontId="4" fillId="4" borderId="51" xfId="0" applyNumberFormat="1" applyFont="1" applyFill="1" applyBorder="1" applyAlignment="1">
      <alignment horizontal="center" vertical="center" wrapText="1"/>
    </xf>
    <xf numFmtId="0" fontId="4" fillId="4" borderId="20" xfId="0" applyNumberFormat="1" applyFont="1" applyFill="1" applyBorder="1" applyAlignment="1">
      <alignment horizontal="center" vertical="center" wrapText="1"/>
    </xf>
    <xf numFmtId="0" fontId="4" fillId="4" borderId="22" xfId="0" applyNumberFormat="1" applyFont="1" applyFill="1" applyBorder="1" applyAlignment="1">
      <alignment horizontal="center" vertical="center" wrapText="1"/>
    </xf>
    <xf numFmtId="0" fontId="4" fillId="4" borderId="41" xfId="0" applyNumberFormat="1" applyFont="1" applyFill="1" applyBorder="1" applyAlignment="1">
      <alignment horizontal="center" vertical="center" wrapText="1"/>
    </xf>
    <xf numFmtId="0" fontId="42" fillId="0" borderId="4" xfId="0" applyNumberFormat="1" applyFont="1" applyBorder="1" applyAlignment="1">
      <alignment vertical="top"/>
    </xf>
    <xf numFmtId="0" fontId="29" fillId="0" borderId="4" xfId="0" applyFont="1" applyBorder="1" applyAlignment="1">
      <alignment horizontal="center" vertical="center"/>
    </xf>
    <xf numFmtId="0" fontId="28" fillId="0" borderId="4" xfId="0" applyNumberFormat="1" applyFont="1" applyFill="1" applyBorder="1" applyAlignment="1">
      <alignment horizontal="center" vertical="top" wrapText="1"/>
    </xf>
    <xf numFmtId="49" fontId="14" fillId="5" borderId="78" xfId="0" applyNumberFormat="1" applyFont="1" applyFill="1" applyBorder="1" applyAlignment="1">
      <alignment horizontal="center" vertical="center"/>
    </xf>
    <xf numFmtId="49" fontId="14" fillId="6" borderId="79" xfId="0" applyNumberFormat="1" applyFont="1" applyFill="1" applyBorder="1" applyAlignment="1">
      <alignment horizontal="center" vertical="center"/>
    </xf>
    <xf numFmtId="49" fontId="17" fillId="7" borderId="80" xfId="0" applyNumberFormat="1" applyFont="1" applyFill="1" applyBorder="1" applyAlignment="1">
      <alignment horizontal="center" vertical="center"/>
    </xf>
    <xf numFmtId="164" fontId="6" fillId="11" borderId="60" xfId="0" applyNumberFormat="1" applyFont="1" applyFill="1" applyBorder="1" applyAlignment="1">
      <alignment horizontal="center" vertical="center" wrapText="1"/>
    </xf>
    <xf numFmtId="164" fontId="6" fillId="4" borderId="60" xfId="0" applyNumberFormat="1" applyFont="1" applyFill="1" applyBorder="1" applyAlignment="1">
      <alignment horizontal="center" vertical="center" wrapText="1"/>
    </xf>
    <xf numFmtId="164" fontId="6" fillId="4" borderId="81" xfId="0" applyNumberFormat="1" applyFont="1" applyFill="1" applyBorder="1" applyAlignment="1">
      <alignment horizontal="center" vertical="center" wrapText="1"/>
    </xf>
    <xf numFmtId="164" fontId="6" fillId="4" borderId="82" xfId="0" applyNumberFormat="1" applyFont="1" applyFill="1" applyBorder="1" applyAlignment="1">
      <alignment horizontal="center" vertical="center" wrapText="1"/>
    </xf>
    <xf numFmtId="49" fontId="14" fillId="5" borderId="51" xfId="0" applyNumberFormat="1" applyFont="1" applyFill="1" applyBorder="1" applyAlignment="1">
      <alignment horizontal="center" vertical="center"/>
    </xf>
    <xf numFmtId="49" fontId="14" fillId="5" borderId="55" xfId="0" applyNumberFormat="1" applyFont="1" applyFill="1" applyBorder="1" applyAlignment="1">
      <alignment horizontal="center" vertical="center"/>
    </xf>
    <xf numFmtId="49" fontId="14" fillId="6" borderId="55" xfId="0" applyNumberFormat="1" applyFont="1" applyFill="1" applyBorder="1" applyAlignment="1">
      <alignment horizontal="center" vertical="center"/>
    </xf>
    <xf numFmtId="49" fontId="17" fillId="7" borderId="55" xfId="0" applyNumberFormat="1" applyFont="1" applyFill="1" applyBorder="1" applyAlignment="1">
      <alignment horizontal="center" vertical="center"/>
    </xf>
    <xf numFmtId="49" fontId="14" fillId="14" borderId="52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14" fillId="14" borderId="34" xfId="0" applyNumberFormat="1" applyFont="1" applyFill="1" applyBorder="1" applyAlignment="1">
      <alignment horizontal="center" vertical="center"/>
    </xf>
    <xf numFmtId="164" fontId="15" fillId="11" borderId="83" xfId="0" applyNumberFormat="1" applyFont="1" applyFill="1" applyBorder="1" applyAlignment="1">
      <alignment horizontal="center" vertical="center" wrapText="1"/>
    </xf>
    <xf numFmtId="164" fontId="43" fillId="11" borderId="33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49" fontId="25" fillId="14" borderId="65" xfId="0" applyNumberFormat="1" applyFont="1" applyFill="1" applyBorder="1" applyAlignment="1">
      <alignment horizontal="center" vertical="center"/>
    </xf>
    <xf numFmtId="164" fontId="11" fillId="15" borderId="3" xfId="0" applyNumberFormat="1" applyFont="1" applyFill="1" applyBorder="1" applyAlignment="1">
      <alignment horizontal="center" vertical="center"/>
    </xf>
    <xf numFmtId="49" fontId="2" fillId="2" borderId="53" xfId="0" applyNumberFormat="1" applyFont="1" applyFill="1" applyBorder="1" applyAlignment="1">
      <alignment horizontal="center" vertical="center" wrapText="1"/>
    </xf>
    <xf numFmtId="49" fontId="14" fillId="5" borderId="75" xfId="0" applyNumberFormat="1" applyFont="1" applyFill="1" applyBorder="1" applyAlignment="1">
      <alignment horizontal="center" vertical="center"/>
    </xf>
    <xf numFmtId="49" fontId="14" fillId="6" borderId="76" xfId="0" applyNumberFormat="1" applyFont="1" applyFill="1" applyBorder="1" applyAlignment="1">
      <alignment horizontal="center" vertical="center"/>
    </xf>
    <xf numFmtId="49" fontId="17" fillId="7" borderId="76" xfId="0" applyNumberFormat="1" applyFont="1" applyFill="1" applyBorder="1" applyAlignment="1">
      <alignment horizontal="center" vertical="center"/>
    </xf>
    <xf numFmtId="49" fontId="14" fillId="14" borderId="85" xfId="0" applyNumberFormat="1" applyFont="1" applyFill="1" applyBorder="1" applyAlignment="1">
      <alignment horizontal="center" vertical="center"/>
    </xf>
    <xf numFmtId="49" fontId="14" fillId="5" borderId="38" xfId="0" applyNumberFormat="1" applyFont="1" applyFill="1" applyBorder="1" applyAlignment="1">
      <alignment horizontal="center" vertical="center"/>
    </xf>
    <xf numFmtId="49" fontId="14" fillId="6" borderId="85" xfId="0" applyNumberFormat="1" applyFont="1" applyFill="1" applyBorder="1" applyAlignment="1">
      <alignment horizontal="center" vertical="center"/>
    </xf>
    <xf numFmtId="49" fontId="17" fillId="7" borderId="86" xfId="0" applyNumberFormat="1" applyFont="1" applyFill="1" applyBorder="1" applyAlignment="1">
      <alignment horizontal="center" vertical="center"/>
    </xf>
    <xf numFmtId="49" fontId="14" fillId="6" borderId="75" xfId="0" applyNumberFormat="1" applyFont="1" applyFill="1" applyBorder="1" applyAlignment="1">
      <alignment horizontal="center" vertical="center"/>
    </xf>
    <xf numFmtId="49" fontId="17" fillId="7" borderId="85" xfId="0" applyNumberFormat="1" applyFont="1" applyFill="1" applyBorder="1" applyAlignment="1">
      <alignment horizontal="center" vertical="center"/>
    </xf>
    <xf numFmtId="164" fontId="16" fillId="15" borderId="16" xfId="0" applyNumberFormat="1" applyFont="1" applyFill="1" applyBorder="1" applyAlignment="1">
      <alignment horizontal="center" vertical="center" wrapText="1"/>
    </xf>
    <xf numFmtId="164" fontId="16" fillId="15" borderId="26" xfId="0" applyNumberFormat="1" applyFont="1" applyFill="1" applyBorder="1" applyAlignment="1">
      <alignment horizontal="center" vertical="center" wrapText="1"/>
    </xf>
    <xf numFmtId="49" fontId="14" fillId="14" borderId="10" xfId="0" applyNumberFormat="1" applyFont="1" applyFill="1" applyBorder="1" applyAlignment="1">
      <alignment horizontal="center" vertical="center"/>
    </xf>
    <xf numFmtId="164" fontId="16" fillId="15" borderId="10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/>
    </xf>
    <xf numFmtId="0" fontId="8" fillId="11" borderId="19" xfId="0" applyNumberFormat="1" applyFont="1" applyFill="1" applyBorder="1" applyAlignment="1">
      <alignment horizontal="center" vertical="center" wrapText="1"/>
    </xf>
    <xf numFmtId="0" fontId="8" fillId="4" borderId="19" xfId="0" applyNumberFormat="1" applyFont="1" applyFill="1" applyBorder="1" applyAlignment="1">
      <alignment horizontal="center" vertical="center" wrapText="1"/>
    </xf>
    <xf numFmtId="0" fontId="8" fillId="4" borderId="84" xfId="0" applyNumberFormat="1" applyFont="1" applyFill="1" applyBorder="1" applyAlignment="1">
      <alignment horizontal="center" vertical="center" wrapText="1"/>
    </xf>
    <xf numFmtId="164" fontId="43" fillId="11" borderId="85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center" vertical="center" wrapText="1"/>
    </xf>
    <xf numFmtId="164" fontId="6" fillId="11" borderId="75" xfId="0" applyNumberFormat="1" applyFont="1" applyFill="1" applyBorder="1" applyAlignment="1">
      <alignment horizontal="center" vertical="center" wrapText="1"/>
    </xf>
    <xf numFmtId="164" fontId="6" fillId="11" borderId="76" xfId="0" applyNumberFormat="1" applyFont="1" applyFill="1" applyBorder="1" applyAlignment="1">
      <alignment horizontal="center" vertical="center" wrapText="1"/>
    </xf>
    <xf numFmtId="164" fontId="6" fillId="11" borderId="91" xfId="0" applyNumberFormat="1" applyFont="1" applyFill="1" applyBorder="1" applyAlignment="1">
      <alignment horizontal="center" vertical="center" wrapText="1"/>
    </xf>
    <xf numFmtId="0" fontId="8" fillId="11" borderId="75" xfId="0" applyFont="1" applyFill="1" applyBorder="1" applyAlignment="1">
      <alignment horizontal="center" vertical="center" wrapText="1"/>
    </xf>
    <xf numFmtId="0" fontId="8" fillId="11" borderId="76" xfId="0" applyNumberFormat="1" applyFont="1" applyFill="1" applyBorder="1" applyAlignment="1">
      <alignment horizontal="center" vertical="center" wrapText="1"/>
    </xf>
    <xf numFmtId="49" fontId="24" fillId="11" borderId="75" xfId="0" applyNumberFormat="1" applyFont="1" applyFill="1" applyBorder="1" applyAlignment="1">
      <alignment horizontal="center" vertical="center" wrapText="1"/>
    </xf>
    <xf numFmtId="49" fontId="0" fillId="11" borderId="76" xfId="0" applyNumberFormat="1" applyFill="1" applyBorder="1" applyAlignment="1">
      <alignment horizontal="left" vertical="center" wrapText="1"/>
    </xf>
    <xf numFmtId="164" fontId="15" fillId="11" borderId="76" xfId="0" applyNumberFormat="1" applyFont="1" applyFill="1" applyBorder="1" applyAlignment="1">
      <alignment horizontal="center" vertical="center" wrapText="1"/>
    </xf>
    <xf numFmtId="164" fontId="7" fillId="11" borderId="76" xfId="0" applyNumberFormat="1" applyFont="1" applyFill="1" applyBorder="1" applyAlignment="1">
      <alignment horizontal="center" vertical="center" wrapText="1"/>
    </xf>
    <xf numFmtId="164" fontId="16" fillId="11" borderId="76" xfId="0" applyNumberFormat="1" applyFont="1" applyFill="1" applyBorder="1" applyAlignment="1">
      <alignment horizontal="center" vertical="center" wrapText="1"/>
    </xf>
    <xf numFmtId="14" fontId="36" fillId="13" borderId="0" xfId="0" applyNumberFormat="1" applyFont="1" applyFill="1" applyBorder="1" applyAlignment="1">
      <alignment horizontal="center" vertical="center" wrapText="1"/>
    </xf>
    <xf numFmtId="169" fontId="30" fillId="0" borderId="32" xfId="0" applyNumberFormat="1" applyFont="1" applyFill="1" applyBorder="1">
      <alignment vertical="top" wrapText="1"/>
    </xf>
    <xf numFmtId="0" fontId="45" fillId="17" borderId="98" xfId="0" applyNumberFormat="1" applyFont="1" applyFill="1" applyBorder="1" applyAlignment="1">
      <alignment horizontal="center" vertical="center" wrapText="1"/>
    </xf>
    <xf numFmtId="0" fontId="45" fillId="17" borderId="99" xfId="0" applyNumberFormat="1" applyFont="1" applyFill="1" applyBorder="1" applyAlignment="1">
      <alignment horizontal="center" vertical="center" wrapText="1"/>
    </xf>
    <xf numFmtId="0" fontId="45" fillId="17" borderId="100" xfId="0" applyNumberFormat="1" applyFont="1" applyFill="1" applyBorder="1" applyAlignment="1">
      <alignment horizontal="center" vertical="center" wrapText="1"/>
    </xf>
    <xf numFmtId="0" fontId="0" fillId="0" borderId="102" xfId="0" applyNumberFormat="1" applyFill="1" applyBorder="1" applyAlignment="1">
      <alignment vertical="center" wrapText="1"/>
    </xf>
    <xf numFmtId="0" fontId="0" fillId="0" borderId="103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0" fillId="0" borderId="105" xfId="0" applyNumberFormat="1" applyFill="1" applyBorder="1" applyAlignment="1">
      <alignment vertical="center" wrapText="1"/>
    </xf>
    <xf numFmtId="0" fontId="0" fillId="0" borderId="107" xfId="0" applyNumberFormat="1" applyFill="1" applyBorder="1" applyAlignment="1">
      <alignment vertical="center" wrapText="1"/>
    </xf>
    <xf numFmtId="0" fontId="0" fillId="0" borderId="108" xfId="0" applyNumberFormat="1" applyFill="1" applyBorder="1" applyAlignment="1">
      <alignment vertical="center" wrapText="1"/>
    </xf>
    <xf numFmtId="0" fontId="34" fillId="0" borderId="101" xfId="0" applyNumberFormat="1" applyFont="1" applyFill="1" applyBorder="1" applyAlignment="1">
      <alignment vertical="center" wrapText="1"/>
    </xf>
    <xf numFmtId="0" fontId="34" fillId="0" borderId="104" xfId="0" applyNumberFormat="1" applyFont="1" applyFill="1" applyBorder="1" applyAlignment="1">
      <alignment vertical="center" wrapText="1"/>
    </xf>
    <xf numFmtId="0" fontId="34" fillId="0" borderId="106" xfId="0" applyNumberFormat="1" applyFont="1" applyFill="1" applyBorder="1" applyAlignment="1">
      <alignment vertical="center" wrapText="1"/>
    </xf>
    <xf numFmtId="0" fontId="0" fillId="0" borderId="102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107" xfId="0" applyNumberFormat="1" applyFill="1" applyBorder="1" applyAlignment="1">
      <alignment horizontal="center" vertical="center" wrapText="1"/>
    </xf>
    <xf numFmtId="0" fontId="48" fillId="20" borderId="109" xfId="0" applyNumberFormat="1" applyFont="1" applyFill="1" applyBorder="1" applyAlignment="1">
      <alignment horizontal="center" vertical="center" wrapText="1"/>
    </xf>
    <xf numFmtId="0" fontId="48" fillId="20" borderId="110" xfId="0" applyNumberFormat="1" applyFont="1" applyFill="1" applyBorder="1" applyAlignment="1">
      <alignment horizontal="center" vertical="center" wrapText="1"/>
    </xf>
    <xf numFmtId="0" fontId="48" fillId="20" borderId="111" xfId="0" applyNumberFormat="1" applyFont="1" applyFill="1" applyBorder="1" applyAlignment="1">
      <alignment horizontal="center" vertical="center" wrapText="1"/>
    </xf>
    <xf numFmtId="0" fontId="48" fillId="20" borderId="113" xfId="0" applyNumberFormat="1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41" fillId="0" borderId="29" xfId="0" applyNumberFormat="1" applyFont="1" applyBorder="1" applyAlignment="1">
      <alignment horizontal="center" vertical="center" wrapText="1"/>
    </xf>
    <xf numFmtId="0" fontId="41" fillId="0" borderId="36" xfId="0" applyNumberFormat="1" applyFont="1" applyBorder="1" applyAlignment="1">
      <alignment horizontal="center" vertical="center" wrapText="1"/>
    </xf>
    <xf numFmtId="0" fontId="41" fillId="0" borderId="31" xfId="0" applyNumberFormat="1" applyFont="1" applyBorder="1" applyAlignment="1">
      <alignment horizontal="center" vertical="center" wrapText="1"/>
    </xf>
    <xf numFmtId="0" fontId="41" fillId="0" borderId="32" xfId="0" applyNumberFormat="1" applyFont="1" applyBorder="1" applyAlignment="1">
      <alignment horizontal="center" vertical="center" wrapText="1"/>
    </xf>
    <xf numFmtId="0" fontId="41" fillId="0" borderId="4" xfId="0" applyNumberFormat="1" applyFont="1" applyBorder="1" applyAlignment="1">
      <alignment horizontal="center" vertical="center" wrapText="1"/>
    </xf>
    <xf numFmtId="0" fontId="41" fillId="0" borderId="33" xfId="0" applyNumberFormat="1" applyFont="1" applyBorder="1" applyAlignment="1">
      <alignment horizontal="center" vertical="center" wrapText="1"/>
    </xf>
    <xf numFmtId="0" fontId="41" fillId="0" borderId="30" xfId="0" applyNumberFormat="1" applyFont="1" applyBorder="1" applyAlignment="1">
      <alignment horizontal="center" vertical="center" wrapText="1"/>
    </xf>
    <xf numFmtId="0" fontId="41" fillId="0" borderId="35" xfId="0" applyNumberFormat="1" applyFont="1" applyBorder="1" applyAlignment="1">
      <alignment horizontal="center" vertical="center" wrapText="1"/>
    </xf>
    <xf numFmtId="0" fontId="41" fillId="0" borderId="34" xfId="0" applyNumberFormat="1" applyFont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0" fontId="18" fillId="10" borderId="25" xfId="0" applyFont="1" applyFill="1" applyBorder="1" applyAlignment="1">
      <alignment horizontal="center" vertical="center" wrapText="1"/>
    </xf>
    <xf numFmtId="0" fontId="18" fillId="10" borderId="37" xfId="0" applyFont="1" applyFill="1" applyBorder="1" applyAlignment="1">
      <alignment horizontal="center" vertical="center" wrapText="1"/>
    </xf>
    <xf numFmtId="0" fontId="18" fillId="10" borderId="26" xfId="0" applyFont="1" applyFill="1" applyBorder="1" applyAlignment="1">
      <alignment horizontal="center" vertical="center" wrapText="1"/>
    </xf>
    <xf numFmtId="0" fontId="18" fillId="10" borderId="29" xfId="0" applyFont="1" applyFill="1" applyBorder="1" applyAlignment="1">
      <alignment horizontal="center" vertical="center" wrapText="1"/>
    </xf>
    <xf numFmtId="0" fontId="18" fillId="10" borderId="36" xfId="0" applyFont="1" applyFill="1" applyBorder="1" applyAlignment="1">
      <alignment horizontal="center" vertical="center" wrapText="1"/>
    </xf>
    <xf numFmtId="0" fontId="18" fillId="10" borderId="32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30" xfId="0" applyFont="1" applyFill="1" applyBorder="1" applyAlignment="1">
      <alignment horizontal="center" vertical="center" wrapText="1"/>
    </xf>
    <xf numFmtId="0" fontId="18" fillId="10" borderId="35" xfId="0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top" wrapText="1"/>
    </xf>
    <xf numFmtId="0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top" wrapText="1"/>
    </xf>
    <xf numFmtId="49" fontId="5" fillId="11" borderId="73" xfId="0" applyNumberFormat="1" applyFont="1" applyFill="1" applyBorder="1" applyAlignment="1">
      <alignment horizontal="center" vertical="center" wrapText="1"/>
    </xf>
    <xf numFmtId="49" fontId="5" fillId="11" borderId="36" xfId="0" applyNumberFormat="1" applyFont="1" applyFill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49" fontId="2" fillId="10" borderId="29" xfId="0" applyNumberFormat="1" applyFont="1" applyFill="1" applyBorder="1" applyAlignment="1">
      <alignment horizontal="center" vertical="center" wrapText="1"/>
    </xf>
    <xf numFmtId="49" fontId="18" fillId="10" borderId="36" xfId="0" applyNumberFormat="1" applyFont="1" applyFill="1" applyBorder="1" applyAlignment="1">
      <alignment horizontal="center" vertical="center" wrapText="1"/>
    </xf>
    <xf numFmtId="49" fontId="18" fillId="10" borderId="31" xfId="0" applyNumberFormat="1" applyFont="1" applyFill="1" applyBorder="1" applyAlignment="1">
      <alignment horizontal="center" vertical="center" wrapText="1"/>
    </xf>
    <xf numFmtId="49" fontId="18" fillId="10" borderId="30" xfId="0" applyNumberFormat="1" applyFont="1" applyFill="1" applyBorder="1" applyAlignment="1">
      <alignment horizontal="center" vertical="center" wrapText="1"/>
    </xf>
    <xf numFmtId="49" fontId="18" fillId="10" borderId="35" xfId="0" applyNumberFormat="1" applyFont="1" applyFill="1" applyBorder="1" applyAlignment="1">
      <alignment horizontal="center" vertical="center" wrapText="1"/>
    </xf>
    <xf numFmtId="49" fontId="18" fillId="10" borderId="34" xfId="0" applyNumberFormat="1" applyFont="1" applyFill="1" applyBorder="1" applyAlignment="1">
      <alignment horizontal="center" vertical="center" wrapText="1"/>
    </xf>
    <xf numFmtId="0" fontId="41" fillId="0" borderId="59" xfId="0" applyNumberFormat="1" applyFont="1" applyBorder="1" applyAlignment="1">
      <alignment horizontal="center" vertical="center" wrapText="1"/>
    </xf>
    <xf numFmtId="0" fontId="41" fillId="0" borderId="87" xfId="0" applyNumberFormat="1" applyFont="1" applyBorder="1" applyAlignment="1">
      <alignment horizontal="center" vertical="center" wrapText="1"/>
    </xf>
    <xf numFmtId="0" fontId="41" fillId="0" borderId="88" xfId="0" applyNumberFormat="1" applyFont="1" applyBorder="1" applyAlignment="1">
      <alignment horizontal="center" vertical="center" wrapText="1"/>
    </xf>
    <xf numFmtId="0" fontId="41" fillId="0" borderId="70" xfId="0" applyNumberFormat="1" applyFont="1" applyBorder="1" applyAlignment="1">
      <alignment horizontal="center" vertical="center" wrapText="1"/>
    </xf>
    <xf numFmtId="0" fontId="41" fillId="0" borderId="71" xfId="0" applyNumberFormat="1" applyFont="1" applyBorder="1" applyAlignment="1">
      <alignment horizontal="center" vertical="center" wrapText="1"/>
    </xf>
    <xf numFmtId="0" fontId="41" fillId="0" borderId="89" xfId="0" applyNumberFormat="1" applyFont="1" applyBorder="1" applyAlignment="1">
      <alignment horizontal="center" vertical="center" wrapText="1"/>
    </xf>
    <xf numFmtId="0" fontId="41" fillId="0" borderId="60" xfId="0" applyNumberFormat="1" applyFont="1" applyBorder="1" applyAlignment="1">
      <alignment horizontal="center" vertical="center" wrapText="1"/>
    </xf>
    <xf numFmtId="0" fontId="41" fillId="0" borderId="90" xfId="0" applyNumberFormat="1" applyFont="1" applyBorder="1" applyAlignment="1">
      <alignment horizontal="center" vertical="center" wrapText="1"/>
    </xf>
    <xf numFmtId="49" fontId="5" fillId="11" borderId="92" xfId="0" applyNumberFormat="1" applyFont="1" applyFill="1" applyBorder="1" applyAlignment="1">
      <alignment horizontal="center" vertical="center" wrapText="1"/>
    </xf>
    <xf numFmtId="49" fontId="5" fillId="11" borderId="86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4" borderId="69" xfId="0" applyFont="1" applyFill="1" applyBorder="1" applyAlignment="1">
      <alignment horizontal="center" vertical="center" wrapText="1"/>
    </xf>
    <xf numFmtId="0" fontId="28" fillId="0" borderId="38" xfId="0" applyNumberFormat="1" applyFont="1" applyBorder="1" applyAlignment="1">
      <alignment horizontal="center" vertical="top" wrapText="1"/>
    </xf>
    <xf numFmtId="0" fontId="28" fillId="0" borderId="36" xfId="0" applyNumberFormat="1" applyFont="1" applyBorder="1" applyAlignment="1">
      <alignment horizontal="center" vertical="top" wrapText="1"/>
    </xf>
    <xf numFmtId="0" fontId="28" fillId="0" borderId="31" xfId="0" applyNumberFormat="1" applyFont="1" applyBorder="1" applyAlignment="1">
      <alignment horizontal="center" vertical="top" wrapText="1"/>
    </xf>
    <xf numFmtId="0" fontId="32" fillId="10" borderId="51" xfId="0" applyNumberFormat="1" applyFont="1" applyFill="1" applyBorder="1" applyAlignment="1">
      <alignment horizontal="center" vertical="top" wrapText="1"/>
    </xf>
    <xf numFmtId="0" fontId="32" fillId="10" borderId="55" xfId="0" applyNumberFormat="1" applyFont="1" applyFill="1" applyBorder="1" applyAlignment="1">
      <alignment horizontal="center" vertical="top" wrapText="1"/>
    </xf>
    <xf numFmtId="0" fontId="32" fillId="10" borderId="58" xfId="0" applyNumberFormat="1" applyFont="1" applyFill="1" applyBorder="1" applyAlignment="1">
      <alignment horizontal="center" vertical="top" wrapText="1"/>
    </xf>
    <xf numFmtId="0" fontId="31" fillId="12" borderId="29" xfId="0" applyNumberFormat="1" applyFont="1" applyFill="1" applyBorder="1" applyAlignment="1">
      <alignment horizontal="center" vertical="center" wrapText="1"/>
    </xf>
    <xf numFmtId="0" fontId="31" fillId="12" borderId="36" xfId="0" applyNumberFormat="1" applyFont="1" applyFill="1" applyBorder="1" applyAlignment="1">
      <alignment horizontal="center" vertical="center" wrapText="1"/>
    </xf>
    <xf numFmtId="0" fontId="48" fillId="20" borderId="109" xfId="0" applyNumberFormat="1" applyFont="1" applyFill="1" applyBorder="1" applyAlignment="1">
      <alignment horizontal="center" vertical="center" wrapText="1"/>
    </xf>
    <xf numFmtId="0" fontId="31" fillId="12" borderId="62" xfId="0" applyNumberFormat="1" applyFont="1" applyFill="1" applyBorder="1" applyAlignment="1">
      <alignment horizontal="center" vertical="center" wrapText="1"/>
    </xf>
    <xf numFmtId="0" fontId="31" fillId="12" borderId="60" xfId="0" applyNumberFormat="1" applyFont="1" applyFill="1" applyBorder="1" applyAlignment="1">
      <alignment horizontal="center" vertical="center" wrapText="1"/>
    </xf>
    <xf numFmtId="0" fontId="48" fillId="20" borderId="112" xfId="0" applyNumberFormat="1" applyFont="1" applyFill="1" applyBorder="1" applyAlignment="1">
      <alignment horizontal="center" vertical="center" wrapText="1"/>
    </xf>
    <xf numFmtId="0" fontId="31" fillId="10" borderId="20" xfId="0" applyNumberFormat="1" applyFont="1" applyFill="1" applyBorder="1" applyAlignment="1">
      <alignment horizontal="center" vertical="top" wrapText="1"/>
    </xf>
    <xf numFmtId="0" fontId="31" fillId="10" borderId="9" xfId="0" applyNumberFormat="1" applyFont="1" applyFill="1" applyBorder="1" applyAlignment="1">
      <alignment horizontal="center" vertical="top" wrapText="1"/>
    </xf>
    <xf numFmtId="0" fontId="31" fillId="12" borderId="51" xfId="0" applyNumberFormat="1" applyFont="1" applyFill="1" applyBorder="1" applyAlignment="1">
      <alignment horizontal="center" vertical="center" wrapText="1"/>
    </xf>
    <xf numFmtId="0" fontId="31" fillId="12" borderId="55" xfId="0" applyNumberFormat="1" applyFont="1" applyFill="1" applyBorder="1" applyAlignment="1">
      <alignment horizontal="center" vertical="center" wrapText="1"/>
    </xf>
    <xf numFmtId="0" fontId="31" fillId="12" borderId="20" xfId="0" applyNumberFormat="1" applyFont="1" applyFill="1" applyBorder="1" applyAlignment="1">
      <alignment horizontal="center" vertical="center" wrapText="1"/>
    </xf>
    <xf numFmtId="0" fontId="31" fillId="12" borderId="9" xfId="0" applyNumberFormat="1" applyFont="1" applyFill="1" applyBorder="1" applyAlignment="1">
      <alignment horizontal="center" vertical="center" wrapText="1"/>
    </xf>
    <xf numFmtId="0" fontId="31" fillId="12" borderId="52" xfId="0" applyNumberFormat="1" applyFont="1" applyFill="1" applyBorder="1" applyAlignment="1">
      <alignment horizontal="center" vertical="center" wrapText="1"/>
    </xf>
    <xf numFmtId="0" fontId="31" fillId="12" borderId="21" xfId="0" applyNumberFormat="1" applyFont="1" applyFill="1" applyBorder="1" applyAlignment="1">
      <alignment horizontal="center" vertical="center" wrapText="1"/>
    </xf>
    <xf numFmtId="0" fontId="31" fillId="10" borderId="11" xfId="0" applyNumberFormat="1" applyFont="1" applyFill="1" applyBorder="1" applyAlignment="1">
      <alignment horizontal="center" vertical="top" wrapText="1"/>
    </xf>
    <xf numFmtId="0" fontId="31" fillId="4" borderId="51" xfId="0" applyNumberFormat="1" applyFont="1" applyFill="1" applyBorder="1" applyAlignment="1">
      <alignment horizontal="center" vertical="center" wrapText="1"/>
    </xf>
    <xf numFmtId="0" fontId="31" fillId="4" borderId="55" xfId="0" applyNumberFormat="1" applyFont="1" applyFill="1" applyBorder="1" applyAlignment="1">
      <alignment horizontal="center" vertical="center" wrapText="1"/>
    </xf>
    <xf numFmtId="0" fontId="31" fillId="4" borderId="52" xfId="0" applyNumberFormat="1" applyFont="1" applyFill="1" applyBorder="1" applyAlignment="1">
      <alignment horizontal="center" vertical="center" wrapText="1"/>
    </xf>
    <xf numFmtId="0" fontId="31" fillId="4" borderId="20" xfId="0" applyNumberFormat="1" applyFont="1" applyFill="1" applyBorder="1" applyAlignment="1">
      <alignment horizontal="center" vertical="center" wrapText="1"/>
    </xf>
    <xf numFmtId="0" fontId="31" fillId="4" borderId="9" xfId="0" applyNumberFormat="1" applyFont="1" applyFill="1" applyBorder="1" applyAlignment="1">
      <alignment horizontal="center" vertical="center" wrapText="1"/>
    </xf>
    <xf numFmtId="0" fontId="31" fillId="4" borderId="21" xfId="0" applyNumberFormat="1" applyFont="1" applyFill="1" applyBorder="1" applyAlignment="1">
      <alignment horizontal="center" vertical="center" wrapText="1"/>
    </xf>
    <xf numFmtId="0" fontId="37" fillId="0" borderId="0" xfId="0" applyNumberFormat="1" applyFont="1" applyAlignment="1">
      <alignment horizontal="left" vertical="center" wrapText="1"/>
    </xf>
    <xf numFmtId="0" fontId="36" fillId="13" borderId="0" xfId="0" applyNumberFormat="1" applyFont="1" applyFill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49" fontId="25" fillId="5" borderId="65" xfId="0" applyNumberFormat="1" applyFont="1" applyFill="1" applyBorder="1" applyAlignment="1">
      <alignment horizontal="center" vertical="center"/>
    </xf>
    <xf numFmtId="49" fontId="25" fillId="5" borderId="68" xfId="0" applyNumberFormat="1" applyFont="1" applyFill="1" applyBorder="1" applyAlignment="1">
      <alignment horizontal="center" vertical="center"/>
    </xf>
    <xf numFmtId="0" fontId="34" fillId="0" borderId="60" xfId="0" applyNumberFormat="1" applyFont="1" applyBorder="1" applyAlignment="1">
      <alignment horizontal="center" vertical="center" wrapText="1"/>
    </xf>
    <xf numFmtId="0" fontId="34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/>
    </xf>
    <xf numFmtId="0" fontId="34" fillId="0" borderId="63" xfId="0" applyNumberFormat="1" applyFont="1" applyFill="1" applyBorder="1" applyAlignment="1">
      <alignment horizontal="center" vertical="center" wrapText="1"/>
    </xf>
    <xf numFmtId="0" fontId="34" fillId="0" borderId="54" xfId="0" applyNumberFormat="1" applyFont="1" applyFill="1" applyBorder="1" applyAlignment="1">
      <alignment horizontal="center" vertical="center" wrapText="1"/>
    </xf>
    <xf numFmtId="0" fontId="34" fillId="0" borderId="64" xfId="0" applyNumberFormat="1" applyFont="1" applyFill="1" applyBorder="1" applyAlignment="1">
      <alignment horizontal="center" vertical="center" wrapText="1"/>
    </xf>
    <xf numFmtId="0" fontId="34" fillId="0" borderId="67" xfId="0" applyNumberFormat="1" applyFont="1" applyFill="1" applyBorder="1" applyAlignment="1">
      <alignment horizontal="center" vertical="center" wrapText="1"/>
    </xf>
    <xf numFmtId="49" fontId="35" fillId="0" borderId="40" xfId="0" applyNumberFormat="1" applyFont="1" applyBorder="1" applyAlignment="1">
      <alignment horizontal="center" vertical="center"/>
    </xf>
    <xf numFmtId="0" fontId="44" fillId="16" borderId="0" xfId="0" applyNumberFormat="1" applyFont="1" applyFill="1" applyBorder="1" applyAlignment="1">
      <alignment horizontal="center" vertical="center" wrapText="1"/>
    </xf>
    <xf numFmtId="0" fontId="46" fillId="16" borderId="0" xfId="0" applyNumberFormat="1" applyFont="1" applyFill="1" applyBorder="1" applyAlignment="1">
      <alignment vertical="center" wrapText="1"/>
    </xf>
    <xf numFmtId="0" fontId="47" fillId="19" borderId="0" xfId="0" applyNumberFormat="1" applyFont="1" applyFill="1" applyBorder="1" applyAlignment="1">
      <alignment vertical="center" wrapText="1"/>
    </xf>
    <xf numFmtId="49" fontId="49" fillId="2" borderId="29" xfId="0" applyNumberFormat="1" applyFont="1" applyFill="1" applyBorder="1" applyAlignment="1">
      <alignment horizontal="center" vertical="center" wrapText="1"/>
    </xf>
    <xf numFmtId="49" fontId="49" fillId="2" borderId="36" xfId="0" applyNumberFormat="1" applyFont="1" applyFill="1" applyBorder="1" applyAlignment="1">
      <alignment horizontal="center" vertical="center" wrapText="1"/>
    </xf>
    <xf numFmtId="49" fontId="49" fillId="2" borderId="31" xfId="0" applyNumberFormat="1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4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0" fontId="49" fillId="10" borderId="55" xfId="0" applyFont="1" applyFill="1" applyBorder="1" applyAlignment="1">
      <alignment horizontal="center" vertical="center" wrapText="1"/>
    </xf>
    <xf numFmtId="0" fontId="49" fillId="10" borderId="9" xfId="0" applyFont="1" applyFill="1" applyBorder="1" applyAlignment="1">
      <alignment horizontal="center" vertical="center" wrapText="1"/>
    </xf>
    <xf numFmtId="0" fontId="49" fillId="10" borderId="23" xfId="0" applyFont="1" applyFill="1" applyBorder="1" applyAlignment="1">
      <alignment horizontal="center" vertical="center" wrapText="1"/>
    </xf>
    <xf numFmtId="0" fontId="49" fillId="10" borderId="58" xfId="0" applyFont="1" applyFill="1" applyBorder="1" applyAlignment="1">
      <alignment horizontal="center" vertical="center" wrapText="1"/>
    </xf>
    <xf numFmtId="0" fontId="49" fillId="10" borderId="11" xfId="0" applyFont="1" applyFill="1" applyBorder="1" applyAlignment="1">
      <alignment horizontal="center" vertical="center" wrapText="1"/>
    </xf>
    <xf numFmtId="0" fontId="49" fillId="10" borderId="53" xfId="0" applyFont="1" applyFill="1" applyBorder="1" applyAlignment="1">
      <alignment horizontal="center" vertical="center" wrapText="1"/>
    </xf>
    <xf numFmtId="49" fontId="49" fillId="10" borderId="29" xfId="0" applyNumberFormat="1" applyFont="1" applyFill="1" applyBorder="1" applyAlignment="1">
      <alignment horizontal="center" vertical="center" wrapText="1"/>
    </xf>
    <xf numFmtId="49" fontId="49" fillId="10" borderId="36" xfId="0" applyNumberFormat="1" applyFont="1" applyFill="1" applyBorder="1" applyAlignment="1">
      <alignment horizontal="center" vertical="center" wrapText="1"/>
    </xf>
    <xf numFmtId="49" fontId="49" fillId="10" borderId="31" xfId="0" applyNumberFormat="1" applyFont="1" applyFill="1" applyBorder="1" applyAlignment="1">
      <alignment horizontal="center" vertical="center" wrapText="1"/>
    </xf>
    <xf numFmtId="49" fontId="49" fillId="10" borderId="30" xfId="0" applyNumberFormat="1" applyFont="1" applyFill="1" applyBorder="1" applyAlignment="1">
      <alignment horizontal="center" vertical="center" wrapText="1"/>
    </xf>
    <xf numFmtId="49" fontId="49" fillId="10" borderId="35" xfId="0" applyNumberFormat="1" applyFont="1" applyFill="1" applyBorder="1" applyAlignment="1">
      <alignment horizontal="center" vertical="center" wrapText="1"/>
    </xf>
    <xf numFmtId="49" fontId="49" fillId="10" borderId="34" xfId="0" applyNumberFormat="1" applyFont="1" applyFill="1" applyBorder="1" applyAlignment="1">
      <alignment horizontal="center" vertical="center" wrapText="1"/>
    </xf>
    <xf numFmtId="0" fontId="54" fillId="18" borderId="0" xfId="0" applyNumberFormat="1" applyFont="1" applyFill="1" applyBorder="1" applyAlignment="1">
      <alignment horizontal="center" vertical="center" wrapText="1"/>
    </xf>
    <xf numFmtId="0" fontId="0" fillId="7" borderId="13" xfId="0" applyFill="1" applyBorder="1" applyAlignment="1" applyProtection="1">
      <alignment horizontal="left" vertical="center" wrapText="1"/>
      <protection locked="0"/>
    </xf>
    <xf numFmtId="49" fontId="5" fillId="0" borderId="46" xfId="0" applyNumberFormat="1" applyFont="1" applyBorder="1" applyAlignment="1" applyProtection="1">
      <alignment horizontal="center" vertical="center" wrapText="1"/>
      <protection locked="0"/>
    </xf>
    <xf numFmtId="49" fontId="5" fillId="0" borderId="81" xfId="0" applyNumberFormat="1" applyFont="1" applyBorder="1" applyAlignment="1" applyProtection="1">
      <alignment horizontal="center" vertical="center" wrapText="1"/>
      <protection locked="0"/>
    </xf>
    <xf numFmtId="49" fontId="5" fillId="0" borderId="20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0" fontId="40" fillId="7" borderId="13" xfId="0" applyFont="1" applyFill="1" applyBorder="1" applyAlignment="1" applyProtection="1">
      <alignment horizontal="left" vertical="center" wrapText="1"/>
      <protection locked="0"/>
    </xf>
    <xf numFmtId="0" fontId="0" fillId="7" borderId="14" xfId="0" applyFill="1" applyBorder="1" applyAlignment="1" applyProtection="1">
      <alignment horizontal="left" vertical="center" wrapText="1"/>
      <protection locked="0"/>
    </xf>
    <xf numFmtId="49" fontId="5" fillId="0" borderId="22" xfId="0" applyNumberFormat="1" applyFont="1" applyBorder="1" applyAlignment="1" applyProtection="1">
      <alignment horizontal="center" vertical="center" wrapText="1"/>
      <protection locked="0"/>
    </xf>
    <xf numFmtId="49" fontId="5" fillId="0" borderId="53" xfId="0" applyNumberFormat="1" applyFont="1" applyBorder="1" applyAlignment="1" applyProtection="1">
      <alignment horizontal="center" vertical="center" wrapText="1"/>
      <protection locked="0"/>
    </xf>
    <xf numFmtId="0" fontId="0" fillId="7" borderId="55" xfId="0" applyFill="1" applyBorder="1" applyAlignment="1" applyProtection="1">
      <alignment horizontal="left" vertical="center" wrapText="1"/>
      <protection locked="0"/>
    </xf>
    <xf numFmtId="0" fontId="0" fillId="0" borderId="55" xfId="0" applyNumberFormat="1" applyBorder="1" applyAlignment="1" applyProtection="1">
      <alignment horizontal="center" vertical="center" wrapText="1"/>
      <protection locked="0"/>
    </xf>
    <xf numFmtId="164" fontId="15" fillId="7" borderId="55" xfId="0" applyNumberFormat="1" applyFont="1" applyFill="1" applyBorder="1" applyAlignment="1" applyProtection="1">
      <alignment horizontal="center" vertical="center" wrapText="1"/>
      <protection locked="0"/>
    </xf>
    <xf numFmtId="164" fontId="15" fillId="7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left" vertical="center" wrapText="1"/>
      <protection locked="0"/>
    </xf>
    <xf numFmtId="0" fontId="0" fillId="0" borderId="9" xfId="0" applyNumberFormat="1" applyBorder="1" applyAlignment="1" applyProtection="1">
      <alignment horizontal="center" vertical="center" wrapText="1"/>
      <protection locked="0"/>
    </xf>
    <xf numFmtId="164" fontId="15" fillId="7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23" xfId="0" applyFill="1" applyBorder="1" applyAlignment="1" applyProtection="1">
      <alignment horizontal="left" vertical="center" wrapText="1"/>
      <protection locked="0"/>
    </xf>
    <xf numFmtId="0" fontId="0" fillId="0" borderId="23" xfId="0" applyNumberFormat="1" applyBorder="1" applyAlignment="1" applyProtection="1">
      <alignment horizontal="center" vertical="center" wrapText="1"/>
      <protection locked="0"/>
    </xf>
    <xf numFmtId="164" fontId="15" fillId="7" borderId="23" xfId="0" applyNumberFormat="1" applyFont="1" applyFill="1" applyBorder="1" applyAlignment="1" applyProtection="1">
      <alignment horizontal="center" vertical="center" wrapText="1"/>
      <protection locked="0"/>
    </xf>
    <xf numFmtId="164" fontId="55" fillId="21" borderId="18" xfId="0" applyNumberFormat="1" applyFont="1" applyFill="1" applyBorder="1" applyAlignment="1" applyProtection="1">
      <alignment horizontal="center" vertical="center" wrapText="1"/>
      <protection locked="0"/>
    </xf>
    <xf numFmtId="164" fontId="55" fillId="21" borderId="77" xfId="0" applyNumberFormat="1" applyFont="1" applyFill="1" applyBorder="1" applyAlignment="1" applyProtection="1">
      <alignment horizontal="center" vertical="center" wrapText="1"/>
      <protection locked="0"/>
    </xf>
    <xf numFmtId="164" fontId="56" fillId="22" borderId="15" xfId="0" applyNumberFormat="1" applyFont="1" applyFill="1" applyBorder="1" applyAlignment="1" applyProtection="1">
      <alignment horizontal="center" vertical="center" wrapText="1"/>
      <protection locked="0"/>
    </xf>
    <xf numFmtId="164" fontId="56" fillId="22" borderId="74" xfId="0" applyNumberFormat="1" applyFont="1" applyFill="1" applyBorder="1" applyAlignment="1" applyProtection="1">
      <alignment horizontal="center" vertical="center" wrapText="1"/>
      <protection locked="0"/>
    </xf>
    <xf numFmtId="164" fontId="57" fillId="23" borderId="15" xfId="0" applyNumberFormat="1" applyFont="1" applyFill="1" applyBorder="1" applyAlignment="1" applyProtection="1">
      <alignment horizontal="center" vertical="center" wrapText="1"/>
      <protection locked="0"/>
    </xf>
    <xf numFmtId="164" fontId="57" fillId="23" borderId="74" xfId="0" applyNumberFormat="1" applyFont="1" applyFill="1" applyBorder="1" applyAlignment="1" applyProtection="1">
      <alignment horizontal="center" vertical="center" wrapText="1"/>
      <protection locked="0"/>
    </xf>
    <xf numFmtId="164" fontId="58" fillId="24" borderId="61" xfId="0" applyNumberFormat="1" applyFont="1" applyFill="1" applyBorder="1" applyAlignment="1" applyProtection="1">
      <alignment horizontal="center" vertical="center" wrapText="1"/>
      <protection locked="0"/>
    </xf>
    <xf numFmtId="164" fontId="58" fillId="24" borderId="19" xfId="0" applyNumberFormat="1" applyFont="1" applyFill="1" applyBorder="1" applyAlignment="1" applyProtection="1">
      <alignment horizontal="center" vertical="center" wrapText="1"/>
      <protection locked="0"/>
    </xf>
    <xf numFmtId="164" fontId="58" fillId="24" borderId="84" xfId="0" applyNumberFormat="1" applyFont="1" applyFill="1" applyBorder="1" applyAlignment="1" applyProtection="1">
      <alignment horizontal="center" vertical="center" wrapText="1"/>
      <protection locked="0"/>
    </xf>
    <xf numFmtId="2" fontId="59" fillId="0" borderId="93" xfId="0" applyNumberFormat="1" applyFont="1" applyFill="1" applyBorder="1" applyAlignment="1">
      <alignment horizontal="center" vertical="center" wrapText="1"/>
    </xf>
    <xf numFmtId="164" fontId="15" fillId="8" borderId="114" xfId="0" applyNumberFormat="1" applyFont="1" applyFill="1" applyBorder="1" applyAlignment="1">
      <alignment horizontal="center" vertical="center" wrapText="1"/>
    </xf>
    <xf numFmtId="164" fontId="15" fillId="8" borderId="97" xfId="0" applyNumberFormat="1" applyFont="1" applyFill="1" applyBorder="1" applyAlignment="1">
      <alignment horizontal="center" vertical="center" wrapText="1"/>
    </xf>
    <xf numFmtId="2" fontId="59" fillId="0" borderId="94" xfId="0" applyNumberFormat="1" applyFont="1" applyFill="1" applyBorder="1" applyAlignment="1">
      <alignment horizontal="center" vertical="center" wrapText="1"/>
    </xf>
    <xf numFmtId="2" fontId="59" fillId="0" borderId="95" xfId="0" applyNumberFormat="1" applyFont="1" applyFill="1" applyBorder="1" applyAlignment="1">
      <alignment horizontal="center" vertical="center" wrapText="1"/>
    </xf>
    <xf numFmtId="2" fontId="59" fillId="0" borderId="9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1">
    <dxf>
      <font>
        <b/>
        <color theme="6" tint="-0.49995422223578601"/>
      </font>
    </dxf>
    <dxf>
      <font>
        <b/>
        <color rgb="FFFF0000"/>
      </font>
      <fill>
        <patternFill>
          <bgColor theme="9" tint="0.59993285927915285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3" tint="0.79998168889431442"/>
      </font>
      <fill>
        <patternFill>
          <bgColor theme="0" tint="-0.499984740745262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5422223578601"/>
        </patternFill>
      </fill>
    </dxf>
    <dxf>
      <fill>
        <patternFill>
          <bgColor theme="0" tint="-0.49995422223578601"/>
        </patternFill>
      </fill>
    </dxf>
    <dxf>
      <fill>
        <patternFill>
          <bgColor theme="0" tint="-0.49995422223578601"/>
        </patternFill>
      </fill>
    </dxf>
    <dxf>
      <fill>
        <patternFill>
          <bgColor theme="0" tint="-0.49995422223578601"/>
        </patternFill>
      </fill>
    </dxf>
    <dxf>
      <fill>
        <patternFill>
          <bgColor theme="0" tint="-0.499954222235786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1F1F1F"/>
      </font>
      <fill>
        <patternFill patternType="solid">
          <bgColor rgb="FFFFC000"/>
        </patternFill>
      </fill>
    </dxf>
    <dxf>
      <font>
        <b/>
        <color rgb="FFFFFFFF"/>
      </font>
      <fill>
        <patternFill patternType="solid">
          <bgColor rgb="FFC00000"/>
        </patternFill>
      </fill>
    </dxf>
    <dxf>
      <font>
        <b/>
        <color rgb="FFFFFFFF"/>
      </font>
      <fill>
        <patternFill patternType="solid">
          <bgColor rgb="FF70AD47"/>
        </patternFill>
      </fill>
    </dxf>
    <dxf>
      <font>
        <b/>
        <color rgb="FF595959"/>
      </font>
      <fill>
        <patternFill patternType="solid">
          <bgColor rgb="FFE7E6E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theme="6" tint="-0.49995422223578601"/>
      </font>
    </dxf>
    <dxf>
      <font>
        <b/>
        <color theme="6" tint="-0.49995422223578601"/>
      </font>
      <fill>
        <patternFill>
          <bgColor theme="6" tint="0.79995117038483843"/>
        </patternFill>
      </fill>
    </dxf>
    <dxf>
      <font>
        <b/>
        <color rgb="FFFF0000"/>
      </font>
      <fill>
        <patternFill>
          <bgColor theme="9" tint="0.59993285927915285"/>
        </patternFill>
      </fill>
    </dxf>
    <dxf>
      <font>
        <color rgb="FF000000"/>
      </font>
      <fill>
        <patternFill>
          <bgColor indexed="16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1BFF"/>
      <rgbColor rgb="FFBDC0BF"/>
      <rgbColor rgb="FFA5A5A5"/>
      <rgbColor rgb="FF020201"/>
      <rgbColor rgb="FF0432FF"/>
      <rgbColor rgb="FFFEFE9F"/>
      <rgbColor rgb="FF3F3F3F"/>
      <rgbColor rgb="00000000"/>
      <rgbColor rgb="E5FF9781"/>
      <rgbColor rgb="FFDBDBDB"/>
      <rgbColor rgb="FFA6A6A6"/>
      <rgbColor rgb="FFFCF305"/>
      <rgbColor rgb="FFFDFDC7"/>
      <rgbColor rgb="FFD7FDD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96167</xdr:colOff>
      <xdr:row>31</xdr:row>
      <xdr:rowOff>231003</xdr:rowOff>
    </xdr:from>
    <xdr:to>
      <xdr:col>22</xdr:col>
      <xdr:colOff>27330</xdr:colOff>
      <xdr:row>34</xdr:row>
      <xdr:rowOff>148156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32630</xdr:colOff>
      <xdr:row>27</xdr:row>
      <xdr:rowOff>80818</xdr:rowOff>
    </xdr:from>
    <xdr:to>
      <xdr:col>17</xdr:col>
      <xdr:colOff>323199</xdr:colOff>
      <xdr:row>35</xdr:row>
      <xdr:rowOff>163142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18</xdr:col>
      <xdr:colOff>110436</xdr:colOff>
      <xdr:row>32</xdr:row>
      <xdr:rowOff>202464</xdr:rowOff>
    </xdr:from>
    <xdr:to>
      <xdr:col>20</xdr:col>
      <xdr:colOff>53144</xdr:colOff>
      <xdr:row>35</xdr:row>
      <xdr:rowOff>119617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HB35"/>
  <sheetViews>
    <sheetView showGridLines="0" tabSelected="1" workbookViewId="0">
      <selection activeCell="B6" sqref="B6"/>
    </sheetView>
  </sheetViews>
  <sheetFormatPr baseColWidth="10" defaultColWidth="16.33203125" defaultRowHeight="13"/>
  <cols>
    <col min="1" max="1" width="11.5" style="1" customWidth="1"/>
    <col min="2" max="2" width="35.33203125" style="1" customWidth="1"/>
    <col min="3" max="3" width="8" style="1" customWidth="1"/>
    <col min="4" max="4" width="7.33203125" customWidth="1"/>
    <col min="5" max="8" width="7.6640625" style="1" customWidth="1"/>
    <col min="9" max="9" width="2" style="1" customWidth="1"/>
    <col min="10" max="11" width="5.5" style="1" customWidth="1"/>
    <col min="12" max="12" width="5" style="1" customWidth="1"/>
    <col min="13" max="14" width="5.1640625" style="1" customWidth="1"/>
    <col min="15" max="15" width="5.5" style="1" customWidth="1"/>
    <col min="16" max="16" width="4.1640625" style="1" customWidth="1"/>
    <col min="17" max="18" width="5" style="1" customWidth="1"/>
    <col min="19" max="19" width="5.5" style="1" customWidth="1"/>
    <col min="20" max="20" width="4.1640625" style="1" customWidth="1"/>
    <col min="21" max="21" width="4.83203125" style="12" customWidth="1"/>
    <col min="22" max="22" width="5" style="12" customWidth="1"/>
    <col min="23" max="23" width="4.83203125" style="12" customWidth="1"/>
    <col min="24" max="24" width="5" style="12" customWidth="1"/>
    <col min="25" max="34" width="7.83203125" style="137" customWidth="1"/>
    <col min="35" max="37" width="10.33203125" style="137" customWidth="1"/>
    <col min="38" max="38" width="6.83203125" style="137" customWidth="1"/>
    <col min="39" max="40" width="5.83203125" style="137" customWidth="1"/>
    <col min="41" max="41" width="16.33203125" style="137"/>
    <col min="42" max="210" width="16.33203125" style="12"/>
    <col min="211" max="16384" width="16.33203125" style="1"/>
  </cols>
  <sheetData>
    <row r="1" spans="1:40" ht="27.75" customHeight="1">
      <c r="A1" s="238" t="s">
        <v>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W1" s="137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</row>
    <row r="2" spans="1:40" ht="27.75" customHeight="1">
      <c r="A2" s="239" t="s">
        <v>1</v>
      </c>
      <c r="B2" s="242" t="s">
        <v>2</v>
      </c>
      <c r="C2" s="245" t="s">
        <v>3</v>
      </c>
      <c r="D2" s="246"/>
      <c r="E2" s="257" t="s">
        <v>4</v>
      </c>
      <c r="F2" s="258"/>
      <c r="G2" s="258"/>
      <c r="H2" s="259"/>
      <c r="I2" s="17"/>
      <c r="J2" s="319" t="s">
        <v>115</v>
      </c>
      <c r="K2" s="320"/>
      <c r="L2" s="320"/>
      <c r="M2" s="320"/>
      <c r="N2" s="321"/>
      <c r="O2" s="319" t="s">
        <v>116</v>
      </c>
      <c r="P2" s="320"/>
      <c r="Q2" s="320"/>
      <c r="R2" s="321"/>
      <c r="S2" s="319" t="s">
        <v>114</v>
      </c>
      <c r="T2" s="320"/>
      <c r="U2" s="320"/>
      <c r="V2" s="320"/>
      <c r="W2" s="320"/>
      <c r="X2" s="321"/>
      <c r="Y2" s="251"/>
      <c r="Z2" s="251"/>
      <c r="AA2" s="251"/>
      <c r="AB2" s="251"/>
      <c r="AC2" s="251"/>
      <c r="AD2" s="251"/>
      <c r="AE2" s="252"/>
      <c r="AF2" s="252"/>
      <c r="AG2" s="252"/>
      <c r="AH2" s="252"/>
      <c r="AI2" s="252"/>
      <c r="AJ2" s="252"/>
      <c r="AK2" s="252"/>
      <c r="AL2" s="252"/>
      <c r="AM2" s="252"/>
      <c r="AN2" s="252"/>
    </row>
    <row r="3" spans="1:40" ht="32.75" customHeight="1">
      <c r="A3" s="240"/>
      <c r="B3" s="243"/>
      <c r="C3" s="247"/>
      <c r="D3" s="248"/>
      <c r="E3" s="260"/>
      <c r="F3" s="261"/>
      <c r="G3" s="261"/>
      <c r="H3" s="262"/>
      <c r="I3" s="17"/>
      <c r="J3" s="162" t="s">
        <v>5</v>
      </c>
      <c r="K3" s="163" t="s">
        <v>5</v>
      </c>
      <c r="L3" s="164" t="s">
        <v>6</v>
      </c>
      <c r="M3" s="165" t="s">
        <v>7</v>
      </c>
      <c r="N3" s="166" t="s">
        <v>8</v>
      </c>
      <c r="O3" s="322"/>
      <c r="P3" s="323"/>
      <c r="Q3" s="323"/>
      <c r="R3" s="324"/>
      <c r="S3" s="322"/>
      <c r="T3" s="323"/>
      <c r="U3" s="323"/>
      <c r="V3" s="323"/>
      <c r="W3" s="323"/>
      <c r="X3" s="324"/>
      <c r="Y3" s="253"/>
      <c r="Z3" s="253"/>
      <c r="AA3" s="253"/>
      <c r="AB3" s="253"/>
      <c r="AC3" s="253"/>
      <c r="AD3" s="253"/>
      <c r="AE3" s="252"/>
      <c r="AF3" s="252"/>
      <c r="AG3" s="252"/>
      <c r="AH3" s="252"/>
      <c r="AI3" s="252"/>
      <c r="AJ3" s="252"/>
      <c r="AK3" s="252"/>
      <c r="AL3" s="252"/>
      <c r="AM3" s="252"/>
      <c r="AN3" s="252"/>
    </row>
    <row r="4" spans="1:40" ht="19.75" customHeight="1">
      <c r="A4" s="241"/>
      <c r="B4" s="244"/>
      <c r="C4" s="249"/>
      <c r="D4" s="250"/>
      <c r="E4" s="155" t="s">
        <v>5</v>
      </c>
      <c r="F4" s="156" t="s">
        <v>6</v>
      </c>
      <c r="G4" s="157" t="s">
        <v>7</v>
      </c>
      <c r="H4" s="169" t="s">
        <v>8</v>
      </c>
      <c r="I4" s="18"/>
      <c r="J4" s="167" t="s">
        <v>9</v>
      </c>
      <c r="K4" s="168" t="s">
        <v>10</v>
      </c>
      <c r="L4" s="168" t="s">
        <v>10</v>
      </c>
      <c r="M4" s="168" t="s">
        <v>10</v>
      </c>
      <c r="N4" s="175" t="s">
        <v>10</v>
      </c>
      <c r="O4" s="176" t="s">
        <v>5</v>
      </c>
      <c r="P4" s="177" t="s">
        <v>6</v>
      </c>
      <c r="Q4" s="178" t="s">
        <v>7</v>
      </c>
      <c r="R4" s="179" t="s">
        <v>8</v>
      </c>
      <c r="S4" s="180" t="s">
        <v>5</v>
      </c>
      <c r="T4" s="181" t="s">
        <v>6</v>
      </c>
      <c r="U4" s="183" t="s">
        <v>6</v>
      </c>
      <c r="V4" s="184" t="s">
        <v>7</v>
      </c>
      <c r="W4" s="182" t="s">
        <v>7</v>
      </c>
      <c r="X4" s="179" t="s">
        <v>8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252"/>
      <c r="AJ4" s="252"/>
      <c r="AK4" s="252"/>
      <c r="AL4" s="138"/>
      <c r="AM4" s="138"/>
      <c r="AN4" s="138"/>
    </row>
    <row r="5" spans="1:40" ht="19.75" customHeight="1">
      <c r="A5" s="145" t="s">
        <v>11</v>
      </c>
      <c r="B5" s="144" t="s">
        <v>12</v>
      </c>
      <c r="C5" s="254" t="s">
        <v>13</v>
      </c>
      <c r="D5" s="255"/>
      <c r="E5" s="170">
        <v>13</v>
      </c>
      <c r="F5" s="146">
        <v>6</v>
      </c>
      <c r="G5" s="147">
        <v>5</v>
      </c>
      <c r="H5" s="171">
        <v>5</v>
      </c>
      <c r="I5" s="18"/>
      <c r="J5" s="76">
        <f>IF($C5="","",IFERROR(VLOOKUP($C5,'Valeurs Règlements Nature'!$A$5:$G$8,3,FALSE),""))</f>
        <v>5</v>
      </c>
      <c r="K5" s="77">
        <f>IF($C5="","",IFERROR(VLOOKUP($C5,'Valeurs Règlements Nature'!$A$5:$G$8,4,FALSE),""))</f>
        <v>15</v>
      </c>
      <c r="L5" s="77">
        <f>IF($C5="","",IFERROR(VLOOKUP($C5,'Valeurs Règlements Nature'!$A$5:$G$8,5,FALSE),""))</f>
        <v>15</v>
      </c>
      <c r="M5" s="77">
        <f>IF($C5="","",IFERROR(VLOOKUP($C5,'Valeurs Règlements Nature'!$A$5:$G$8,6,FALSE),""))</f>
        <v>15</v>
      </c>
      <c r="N5" s="158">
        <f>IF($C5="","",IFERROR(VLOOKUP($C5,'Valeurs Règlements Nature'!$A$5:$G$8,7,FALSE),""))</f>
        <v>10</v>
      </c>
      <c r="O5" s="50" t="b">
        <f t="shared" ref="O5" si="0">IF(OR($C5="",NOT(ISNUMBER(E5))),"",AND(E5&gt;=J5,E5&lt;=K5))</f>
        <v>1</v>
      </c>
      <c r="P5" s="51" t="b">
        <f>IF(OR($C5="",NOT(ISNUMBER(F5))),"",AND(F5&gt;='Valeurs Règlements Nature'!$F$17,F5&lt;=L5))</f>
        <v>1</v>
      </c>
      <c r="Q5" s="51" t="b">
        <f>IF(OR($C5="",NOT(ISNUMBER(G5))),"",AND(G5&gt;='Valeurs Règlements Nature'!$F$17,G5&lt;=M5))</f>
        <v>1</v>
      </c>
      <c r="R5" s="190" t="b">
        <f>IF(OR($C5="",NOT(ISNUMBER(H5))),"",AND(H5&gt;='Valeurs Règlements Nature'!$F$17,H5&lt;=N5))</f>
        <v>1</v>
      </c>
      <c r="S5" s="256" t="str">
        <f>IF(OR(NOT(ISNUMBER(E5)),NOT(ISNUMBER(F5))),"",IF(AND(E5&gt;=F5,ABS(E5-F5)&lt;='Valeurs Règlements Nature'!$F$16),"OK","Hors Fourchette"))</f>
        <v>OK</v>
      </c>
      <c r="T5" s="256"/>
      <c r="U5" s="256" t="str">
        <f>IF(OR(NOT(ISNUMBER(F5)),NOT(ISNUMBER(G5))),"",IF(AND(F5&gt;=G5,ABS(F5-G5)&lt;='Valeurs Règlements Nature'!$F$16),"OK","Hors Fourchette"))</f>
        <v>OK</v>
      </c>
      <c r="V5" s="256"/>
      <c r="W5" s="256" t="str">
        <f>IF(OR(NOT(ISNUMBER(G5)),NOT(ISNUMBER(H5))),"",IF(AND(G5&gt;=H5,ABS(G5-H5)&lt;='Valeurs Règlements Nature'!$F$16),"OK","Hors Fourchette"))</f>
        <v>OK</v>
      </c>
      <c r="X5" s="256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1"/>
      <c r="AJ5" s="141"/>
      <c r="AK5" s="141"/>
      <c r="AL5" s="142"/>
      <c r="AM5" s="142"/>
      <c r="AN5" s="142"/>
    </row>
    <row r="6" spans="1:40" ht="20.75" customHeight="1">
      <c r="A6" s="151">
        <v>1</v>
      </c>
      <c r="B6" s="338"/>
      <c r="C6" s="339"/>
      <c r="D6" s="340"/>
      <c r="E6" s="357"/>
      <c r="F6" s="359"/>
      <c r="G6" s="361"/>
      <c r="H6" s="363"/>
      <c r="I6" s="19"/>
      <c r="J6" s="78" t="str">
        <f>IF($C6="","",IFERROR(VLOOKUP($C6,'Valeurs Règlements Nature'!$A$5:$G$8,3,FALSE),""))</f>
        <v/>
      </c>
      <c r="K6" s="79" t="str">
        <f>IF($C6="","",IFERROR(VLOOKUP($C6,'Valeurs Règlements Nature'!$A$5:$G$8,4,FALSE),""))</f>
        <v/>
      </c>
      <c r="L6" s="79" t="str">
        <f>IF($C6="","",IFERROR(VLOOKUP($C6,'Valeurs Règlements Nature'!$A$5:$G$8,5,FALSE),""))</f>
        <v/>
      </c>
      <c r="M6" s="79" t="str">
        <f>IF($C6="","",IFERROR(VLOOKUP($C6,'Valeurs Règlements Nature'!$A$5:$G$8,6,FALSE),""))</f>
        <v/>
      </c>
      <c r="N6" s="159" t="str">
        <f>IF($C6="","",IFERROR(VLOOKUP($C6,'Valeurs Règlements Nature'!$A$5:$G$8,7,FALSE),""))</f>
        <v/>
      </c>
      <c r="O6" s="45" t="str">
        <f t="shared" ref="O6" si="1">IF(OR($C6="",NOT(ISNUMBER(E6))),"",AND(E6&gt;=J6,E6&lt;=K6))</f>
        <v/>
      </c>
      <c r="P6" s="44" t="str">
        <f>IF(OR($C6="",NOT(ISNUMBER(F6))),"",AND(F6&gt;='Valeurs Règlements Nature'!$F$17,F6&lt;=L6))</f>
        <v/>
      </c>
      <c r="Q6" s="44" t="str">
        <f>IF(OR($C6="",NOT(ISNUMBER(G6))),"",AND(G6&gt;='Valeurs Règlements Nature'!$F$17,G6&lt;=M6))</f>
        <v/>
      </c>
      <c r="R6" s="191" t="str">
        <f>IF(OR($C6="",NOT(ISNUMBER(H6))),"",AND(H6&gt;='Valeurs Règlements Nature'!$F$17,H6&lt;=N6))</f>
        <v/>
      </c>
      <c r="S6" s="227" t="str">
        <f>IF(OR(NOT(ISNUMBER(E6)),NOT(ISNUMBER(F6))),"",IF(AND(E6&gt;=F6,ABS(E6-F6)&lt;='Valeurs Règlements Nature'!$F$16),"OK","Hors Fourchette"))</f>
        <v/>
      </c>
      <c r="T6" s="227"/>
      <c r="U6" s="227" t="str">
        <f>IF(OR(NOT(ISNUMBER(F6)),NOT(ISNUMBER(G6))),"",IF(AND(F6&gt;=G6,ABS(F6-G6)&lt;='Valeurs Règlements Nature'!$F$16),"OK","Hors Fourchette"))</f>
        <v/>
      </c>
      <c r="V6" s="227"/>
      <c r="W6" s="227" t="str">
        <f>IF(OR(NOT(ISNUMBER(G6)),NOT(ISNUMBER(H6))),"",IF(AND(G6&gt;=H6,ABS(G6-H6)&lt;='Valeurs Règlements Nature'!$F$16),"OK","Hors Fourchette"))</f>
        <v/>
      </c>
      <c r="X6" s="227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1"/>
      <c r="AJ6" s="141"/>
      <c r="AK6" s="141"/>
      <c r="AL6" s="142"/>
      <c r="AM6" s="142"/>
      <c r="AN6" s="142"/>
    </row>
    <row r="7" spans="1:40" ht="20.75" customHeight="1">
      <c r="A7" s="14">
        <v>2</v>
      </c>
      <c r="B7" s="338"/>
      <c r="C7" s="341"/>
      <c r="D7" s="342"/>
      <c r="E7" s="357"/>
      <c r="F7" s="359"/>
      <c r="G7" s="361"/>
      <c r="H7" s="364"/>
      <c r="I7" s="19"/>
      <c r="J7" s="80" t="str">
        <f>IF($C7="","",IFERROR(VLOOKUP($C7,'Valeurs Règlements Nature'!$A$5:$G$8,3,FALSE),""))</f>
        <v/>
      </c>
      <c r="K7" s="81" t="str">
        <f>IF($C7="","",IFERROR(VLOOKUP($C7,'Valeurs Règlements Nature'!$A$5:$G$8,4,FALSE),""))</f>
        <v/>
      </c>
      <c r="L7" s="81" t="str">
        <f>IF($C7="","",IFERROR(VLOOKUP($C7,'Valeurs Règlements Nature'!$A$5:$G$8,5,FALSE),""))</f>
        <v/>
      </c>
      <c r="M7" s="81" t="str">
        <f>IF($C7="","",IFERROR(VLOOKUP($C7,'Valeurs Règlements Nature'!$A$5:$G$8,6,FALSE),""))</f>
        <v/>
      </c>
      <c r="N7" s="160" t="str">
        <f>IF($C7="","",IFERROR(VLOOKUP($C7,'Valeurs Règlements Nature'!$A$5:$G$8,7,FALSE),""))</f>
        <v/>
      </c>
      <c r="O7" s="45" t="str">
        <f t="shared" ref="O7:O26" si="2">IF(OR($C7="",NOT(ISNUMBER(E7))),"",AND(E7&gt;=J7,E7&lt;=K7))</f>
        <v/>
      </c>
      <c r="P7" s="44" t="str">
        <f>IF(OR($C7="",NOT(ISNUMBER(F7))),"",AND(F7&gt;='Valeurs Règlements Nature'!$F$17,F7&lt;=L7))</f>
        <v/>
      </c>
      <c r="Q7" s="44" t="str">
        <f>IF(OR($C7="",NOT(ISNUMBER(G7))),"",AND(G7&gt;='Valeurs Règlements Nature'!$F$17,G7&lt;=M7))</f>
        <v/>
      </c>
      <c r="R7" s="191" t="str">
        <f>IF(OR($C7="",NOT(ISNUMBER(H7))),"",AND(H7&gt;='Valeurs Règlements Nature'!$F$17,H7&lt;=N7))</f>
        <v/>
      </c>
      <c r="S7" s="227" t="str">
        <f>IF(OR(NOT(ISNUMBER(E7)),NOT(ISNUMBER(F7))),"",IF(AND(E7&gt;=F7,ABS(E7-F7)&lt;='Valeurs Règlements Nature'!$F$16),"OK","Hors Fourchette"))</f>
        <v/>
      </c>
      <c r="T7" s="227"/>
      <c r="U7" s="227" t="str">
        <f>IF(OR(NOT(ISNUMBER(F7)),NOT(ISNUMBER(G7))),"",IF(AND(F7&gt;=G7,ABS(F7-G7)&lt;='Valeurs Règlements Nature'!$F$16),"OK","Hors Fourchette"))</f>
        <v/>
      </c>
      <c r="V7" s="227"/>
      <c r="W7" s="227" t="str">
        <f>IF(OR(NOT(ISNUMBER(G7)),NOT(ISNUMBER(H7))),"",IF(AND(G7&gt;=H7,ABS(G7-H7)&lt;='Valeurs Règlements Nature'!$F$16),"OK","Hors Fourchette"))</f>
        <v/>
      </c>
      <c r="X7" s="227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1"/>
      <c r="AJ7" s="141"/>
      <c r="AK7" s="141"/>
      <c r="AL7" s="142"/>
      <c r="AM7" s="142"/>
      <c r="AN7" s="142"/>
    </row>
    <row r="8" spans="1:40" ht="20.75" customHeight="1">
      <c r="A8" s="14">
        <v>3</v>
      </c>
      <c r="B8" s="338"/>
      <c r="C8" s="341"/>
      <c r="D8" s="342"/>
      <c r="E8" s="357"/>
      <c r="F8" s="359"/>
      <c r="G8" s="361"/>
      <c r="H8" s="364"/>
      <c r="I8" s="19"/>
      <c r="J8" s="80" t="str">
        <f>IF($C8="","",IFERROR(VLOOKUP($C8,'Valeurs Règlements Nature'!$A$5:$G$8,3,FALSE),""))</f>
        <v/>
      </c>
      <c r="K8" s="81" t="str">
        <f>IF($C8="","",IFERROR(VLOOKUP($C8,'Valeurs Règlements Nature'!$A$5:$G$8,4,FALSE),""))</f>
        <v/>
      </c>
      <c r="L8" s="81" t="str">
        <f>IF($C8="","",IFERROR(VLOOKUP($C8,'Valeurs Règlements Nature'!$A$5:$G$8,5,FALSE),""))</f>
        <v/>
      </c>
      <c r="M8" s="81" t="str">
        <f>IF($C8="","",IFERROR(VLOOKUP($C8,'Valeurs Règlements Nature'!$A$5:$G$8,6,FALSE),""))</f>
        <v/>
      </c>
      <c r="N8" s="160" t="str">
        <f>IF($C8="","",IFERROR(VLOOKUP($C8,'Valeurs Règlements Nature'!$A$5:$G$8,7,FALSE),""))</f>
        <v/>
      </c>
      <c r="O8" s="45" t="str">
        <f t="shared" si="2"/>
        <v/>
      </c>
      <c r="P8" s="44" t="str">
        <f>IF(OR($C8="",NOT(ISNUMBER(F8))),"",AND(F8&gt;='Valeurs Règlements Nature'!$F$17,F8&lt;=L8))</f>
        <v/>
      </c>
      <c r="Q8" s="44" t="str">
        <f>IF(OR($C8="",NOT(ISNUMBER(G8))),"",AND(G8&gt;='Valeurs Règlements Nature'!$F$17,G8&lt;=M8))</f>
        <v/>
      </c>
      <c r="R8" s="191" t="str">
        <f>IF(OR($C8="",NOT(ISNUMBER(H8))),"",AND(H8&gt;='Valeurs Règlements Nature'!$F$17,H8&lt;=N8))</f>
        <v/>
      </c>
      <c r="S8" s="227" t="str">
        <f>IF(OR(NOT(ISNUMBER(E8)),NOT(ISNUMBER(F8))),"",IF(AND(E8&gt;=F8,ABS(E8-F8)&lt;='Valeurs Règlements Nature'!$F$16),"OK","Hors Fourchette"))</f>
        <v/>
      </c>
      <c r="T8" s="227"/>
      <c r="U8" s="227" t="str">
        <f>IF(OR(NOT(ISNUMBER(F8)),NOT(ISNUMBER(G8))),"",IF(AND(F8&gt;=G8,ABS(F8-G8)&lt;='Valeurs Règlements Nature'!$F$16),"OK","Hors Fourchette"))</f>
        <v/>
      </c>
      <c r="V8" s="227"/>
      <c r="W8" s="227" t="str">
        <f>IF(OR(NOT(ISNUMBER(G8)),NOT(ISNUMBER(H8))),"",IF(AND(G8&gt;=H8,ABS(G8-H8)&lt;='Valeurs Règlements Nature'!$F$16),"OK","Hors Fourchette"))</f>
        <v/>
      </c>
      <c r="X8" s="227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1"/>
      <c r="AJ8" s="141"/>
      <c r="AK8" s="141"/>
      <c r="AL8" s="142"/>
      <c r="AM8" s="142"/>
      <c r="AN8" s="142"/>
    </row>
    <row r="9" spans="1:40" ht="20.75" customHeight="1">
      <c r="A9" s="14">
        <v>4</v>
      </c>
      <c r="B9" s="338"/>
      <c r="C9" s="341"/>
      <c r="D9" s="342"/>
      <c r="E9" s="357"/>
      <c r="F9" s="359"/>
      <c r="G9" s="361"/>
      <c r="H9" s="364"/>
      <c r="I9" s="19"/>
      <c r="J9" s="80" t="str">
        <f>IF($C9="","",IFERROR(VLOOKUP($C9,'Valeurs Règlements Nature'!$A$5:$G$8,3,FALSE),""))</f>
        <v/>
      </c>
      <c r="K9" s="81" t="str">
        <f>IF($C9="","",IFERROR(VLOOKUP($C9,'Valeurs Règlements Nature'!$A$5:$G$8,4,FALSE),""))</f>
        <v/>
      </c>
      <c r="L9" s="81" t="str">
        <f>IF($C9="","",IFERROR(VLOOKUP($C9,'Valeurs Règlements Nature'!$A$5:$G$8,5,FALSE),""))</f>
        <v/>
      </c>
      <c r="M9" s="81" t="str">
        <f>IF($C9="","",IFERROR(VLOOKUP($C9,'Valeurs Règlements Nature'!$A$5:$G$8,6,FALSE),""))</f>
        <v/>
      </c>
      <c r="N9" s="160" t="str">
        <f>IF($C9="","",IFERROR(VLOOKUP($C9,'Valeurs Règlements Nature'!$A$5:$G$8,7,FALSE),""))</f>
        <v/>
      </c>
      <c r="O9" s="45" t="str">
        <f t="shared" si="2"/>
        <v/>
      </c>
      <c r="P9" s="44" t="str">
        <f>IF(OR($C9="",NOT(ISNUMBER(F9))),"",AND(F9&gt;='Valeurs Règlements Nature'!$F$17,F9&lt;=L9))</f>
        <v/>
      </c>
      <c r="Q9" s="44" t="str">
        <f>IF(OR($C9="",NOT(ISNUMBER(G9))),"",AND(G9&gt;='Valeurs Règlements Nature'!$F$17,G9&lt;=M9))</f>
        <v/>
      </c>
      <c r="R9" s="191" t="str">
        <f>IF(OR($C9="",NOT(ISNUMBER(H9))),"",AND(H9&gt;='Valeurs Règlements Nature'!$F$17,H9&lt;=N9))</f>
        <v/>
      </c>
      <c r="S9" s="227" t="str">
        <f>IF(OR(NOT(ISNUMBER(E9)),NOT(ISNUMBER(F9))),"",IF(AND(E9&gt;=F9,ABS(E9-F9)&lt;='Valeurs Règlements Nature'!$F$16),"OK","Hors Fourchette"))</f>
        <v/>
      </c>
      <c r="T9" s="227"/>
      <c r="U9" s="227" t="str">
        <f>IF(OR(NOT(ISNUMBER(F9)),NOT(ISNUMBER(G9))),"",IF(AND(F9&gt;=G9,ABS(F9-G9)&lt;='Valeurs Règlements Nature'!$F$16),"OK","Hors Fourchette"))</f>
        <v/>
      </c>
      <c r="V9" s="227"/>
      <c r="W9" s="227" t="str">
        <f>IF(OR(NOT(ISNUMBER(G9)),NOT(ISNUMBER(H9))),"",IF(AND(G9&gt;=H9,ABS(G9-H9)&lt;='Valeurs Règlements Nature'!$F$16),"OK","Hors Fourchette"))</f>
        <v/>
      </c>
      <c r="X9" s="227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1"/>
      <c r="AJ9" s="141"/>
      <c r="AK9" s="141"/>
      <c r="AL9" s="142"/>
      <c r="AM9" s="142"/>
      <c r="AN9" s="142"/>
    </row>
    <row r="10" spans="1:40" ht="20.75" customHeight="1">
      <c r="A10" s="14">
        <v>5</v>
      </c>
      <c r="B10" s="338"/>
      <c r="C10" s="341"/>
      <c r="D10" s="342"/>
      <c r="E10" s="357"/>
      <c r="F10" s="359"/>
      <c r="G10" s="361"/>
      <c r="H10" s="364"/>
      <c r="I10" s="19"/>
      <c r="J10" s="80" t="str">
        <f>IF($C10="","",IFERROR(VLOOKUP($C10,'Valeurs Règlements Nature'!$A$5:$G$8,3,FALSE),""))</f>
        <v/>
      </c>
      <c r="K10" s="81" t="str">
        <f>IF($C10="","",IFERROR(VLOOKUP($C10,'Valeurs Règlements Nature'!$A$5:$G$8,4,FALSE),""))</f>
        <v/>
      </c>
      <c r="L10" s="81" t="str">
        <f>IF($C10="","",IFERROR(VLOOKUP($C10,'Valeurs Règlements Nature'!$A$5:$G$8,5,FALSE),""))</f>
        <v/>
      </c>
      <c r="M10" s="81" t="str">
        <f>IF($C10="","",IFERROR(VLOOKUP($C10,'Valeurs Règlements Nature'!$A$5:$G$8,6,FALSE),""))</f>
        <v/>
      </c>
      <c r="N10" s="160" t="str">
        <f>IF($C10="","",IFERROR(VLOOKUP($C10,'Valeurs Règlements Nature'!$A$5:$G$8,7,FALSE),""))</f>
        <v/>
      </c>
      <c r="O10" s="45" t="str">
        <f t="shared" si="2"/>
        <v/>
      </c>
      <c r="P10" s="44" t="str">
        <f>IF(OR($C10="",NOT(ISNUMBER(F10))),"",AND(F10&gt;='Valeurs Règlements Nature'!$F$17,F10&lt;=L10))</f>
        <v/>
      </c>
      <c r="Q10" s="44" t="str">
        <f>IF(OR($C10="",NOT(ISNUMBER(G10))),"",AND(G10&gt;='Valeurs Règlements Nature'!$F$17,G10&lt;=M10))</f>
        <v/>
      </c>
      <c r="R10" s="191" t="str">
        <f>IF(OR($C10="",NOT(ISNUMBER(H10))),"",AND(H10&gt;='Valeurs Règlements Nature'!$F$17,H10&lt;=N10))</f>
        <v/>
      </c>
      <c r="S10" s="227" t="str">
        <f>IF(OR(NOT(ISNUMBER(E10)),NOT(ISNUMBER(F10))),"",IF(AND(E10&gt;=F10,ABS(E10-F10)&lt;='Valeurs Règlements Nature'!$F$16),"OK","Hors Fourchette"))</f>
        <v/>
      </c>
      <c r="T10" s="227"/>
      <c r="U10" s="227" t="str">
        <f>IF(OR(NOT(ISNUMBER(F10)),NOT(ISNUMBER(G10))),"",IF(AND(F10&gt;=G10,ABS(F10-G10)&lt;='Valeurs Règlements Nature'!$F$16),"OK","Hors Fourchette"))</f>
        <v/>
      </c>
      <c r="V10" s="227"/>
      <c r="W10" s="227" t="str">
        <f>IF(OR(NOT(ISNUMBER(G10)),NOT(ISNUMBER(H10))),"",IF(AND(G10&gt;=H10,ABS(G10-H10)&lt;='Valeurs Règlements Nature'!$F$16),"OK","Hors Fourchette"))</f>
        <v/>
      </c>
      <c r="X10" s="227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1"/>
      <c r="AJ10" s="141"/>
      <c r="AK10" s="141"/>
      <c r="AL10" s="142"/>
      <c r="AM10" s="142"/>
      <c r="AN10" s="142"/>
    </row>
    <row r="11" spans="1:40" ht="20.75" customHeight="1">
      <c r="A11" s="14">
        <v>6</v>
      </c>
      <c r="B11" s="343"/>
      <c r="C11" s="341"/>
      <c r="D11" s="342"/>
      <c r="E11" s="357"/>
      <c r="F11" s="359"/>
      <c r="G11" s="361"/>
      <c r="H11" s="364"/>
      <c r="I11" s="19"/>
      <c r="J11" s="80" t="str">
        <f>IF($C11="","",IFERROR(VLOOKUP($C11,'Valeurs Règlements Nature'!$A$5:$G$8,3,FALSE),""))</f>
        <v/>
      </c>
      <c r="K11" s="81" t="str">
        <f>IF($C11="","",IFERROR(VLOOKUP($C11,'Valeurs Règlements Nature'!$A$5:$G$8,4,FALSE),""))</f>
        <v/>
      </c>
      <c r="L11" s="81" t="str">
        <f>IF($C11="","",IFERROR(VLOOKUP($C11,'Valeurs Règlements Nature'!$A$5:$G$8,5,FALSE),""))</f>
        <v/>
      </c>
      <c r="M11" s="81" t="str">
        <f>IF($C11="","",IFERROR(VLOOKUP($C11,'Valeurs Règlements Nature'!$A$5:$G$8,6,FALSE),""))</f>
        <v/>
      </c>
      <c r="N11" s="160" t="str">
        <f>IF($C11="","",IFERROR(VLOOKUP($C11,'Valeurs Règlements Nature'!$A$5:$G$8,7,FALSE),""))</f>
        <v/>
      </c>
      <c r="O11" s="45" t="str">
        <f t="shared" si="2"/>
        <v/>
      </c>
      <c r="P11" s="44" t="str">
        <f>IF(OR($C11="",NOT(ISNUMBER(F11))),"",AND(F11&gt;='Valeurs Règlements Nature'!$F$17,F11&lt;=L11))</f>
        <v/>
      </c>
      <c r="Q11" s="44" t="str">
        <f>IF(OR($C11="",NOT(ISNUMBER(G11))),"",AND(G11&gt;='Valeurs Règlements Nature'!$F$17,G11&lt;=M11))</f>
        <v/>
      </c>
      <c r="R11" s="191" t="str">
        <f>IF(OR($C11="",NOT(ISNUMBER(H11))),"",AND(H11&gt;='Valeurs Règlements Nature'!$F$17,H11&lt;=N11))</f>
        <v/>
      </c>
      <c r="S11" s="227" t="str">
        <f>IF(OR(NOT(ISNUMBER(E11)),NOT(ISNUMBER(F11))),"",IF(AND(E11&gt;=F11,ABS(E11-F11)&lt;='Valeurs Règlements Nature'!$F$16),"OK","Hors Fourchette"))</f>
        <v/>
      </c>
      <c r="T11" s="227"/>
      <c r="U11" s="227" t="str">
        <f>IF(OR(NOT(ISNUMBER(F11)),NOT(ISNUMBER(G11))),"",IF(AND(F11&gt;=G11,ABS(F11-G11)&lt;='Valeurs Règlements Nature'!$F$16),"OK","Hors Fourchette"))</f>
        <v/>
      </c>
      <c r="V11" s="227"/>
      <c r="W11" s="227" t="str">
        <f>IF(OR(NOT(ISNUMBER(G11)),NOT(ISNUMBER(H11))),"",IF(AND(G11&gt;=H11,ABS(G11-H11)&lt;='Valeurs Règlements Nature'!$F$16),"OK","Hors Fourchette"))</f>
        <v/>
      </c>
      <c r="X11" s="227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1"/>
      <c r="AJ11" s="141"/>
      <c r="AK11" s="141"/>
      <c r="AL11" s="142"/>
      <c r="AM11" s="142"/>
      <c r="AN11" s="142"/>
    </row>
    <row r="12" spans="1:40" ht="20.75" customHeight="1">
      <c r="A12" s="14">
        <v>7</v>
      </c>
      <c r="B12" s="338"/>
      <c r="C12" s="341"/>
      <c r="D12" s="342"/>
      <c r="E12" s="357"/>
      <c r="F12" s="359"/>
      <c r="G12" s="361"/>
      <c r="H12" s="364"/>
      <c r="I12" s="19"/>
      <c r="J12" s="80" t="str">
        <f>IF($C12="","",IFERROR(VLOOKUP($C12,'Valeurs Règlements Nature'!$A$5:$G$8,3,FALSE),""))</f>
        <v/>
      </c>
      <c r="K12" s="81" t="str">
        <f>IF($C12="","",IFERROR(VLOOKUP($C12,'Valeurs Règlements Nature'!$A$5:$G$8,4,FALSE),""))</f>
        <v/>
      </c>
      <c r="L12" s="81" t="str">
        <f>IF($C12="","",IFERROR(VLOOKUP($C12,'Valeurs Règlements Nature'!$A$5:$G$8,5,FALSE),""))</f>
        <v/>
      </c>
      <c r="M12" s="81" t="str">
        <f>IF($C12="","",IFERROR(VLOOKUP($C12,'Valeurs Règlements Nature'!$A$5:$G$8,6,FALSE),""))</f>
        <v/>
      </c>
      <c r="N12" s="160" t="str">
        <f>IF($C12="","",IFERROR(VLOOKUP($C12,'Valeurs Règlements Nature'!$A$5:$G$8,7,FALSE),""))</f>
        <v/>
      </c>
      <c r="O12" s="45" t="str">
        <f t="shared" si="2"/>
        <v/>
      </c>
      <c r="P12" s="44" t="str">
        <f>IF(OR($C12="",NOT(ISNUMBER(F12))),"",AND(F12&gt;='Valeurs Règlements Nature'!$F$17,F12&lt;=L12))</f>
        <v/>
      </c>
      <c r="Q12" s="44" t="str">
        <f>IF(OR($C12="",NOT(ISNUMBER(G12))),"",AND(G12&gt;='Valeurs Règlements Nature'!$F$17,G12&lt;=M12))</f>
        <v/>
      </c>
      <c r="R12" s="191" t="str">
        <f>IF(OR($C12="",NOT(ISNUMBER(H12))),"",AND(H12&gt;='Valeurs Règlements Nature'!$F$17,H12&lt;=N12))</f>
        <v/>
      </c>
      <c r="S12" s="227" t="str">
        <f>IF(OR(NOT(ISNUMBER(E12)),NOT(ISNUMBER(F12))),"",IF(AND(E12&gt;=F12,ABS(E12-F12)&lt;='Valeurs Règlements Nature'!$F$16),"OK","Hors Fourchette"))</f>
        <v/>
      </c>
      <c r="T12" s="227"/>
      <c r="U12" s="227" t="str">
        <f>IF(OR(NOT(ISNUMBER(F12)),NOT(ISNUMBER(G12))),"",IF(AND(F12&gt;=G12,ABS(F12-G12)&lt;='Valeurs Règlements Nature'!$F$16),"OK","Hors Fourchette"))</f>
        <v/>
      </c>
      <c r="V12" s="227"/>
      <c r="W12" s="227" t="str">
        <f>IF(OR(NOT(ISNUMBER(G12)),NOT(ISNUMBER(H12))),"",IF(AND(G12&gt;=H12,ABS(G12-H12)&lt;='Valeurs Règlements Nature'!$F$16),"OK","Hors Fourchette"))</f>
        <v/>
      </c>
      <c r="X12" s="227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1"/>
      <c r="AJ12" s="141"/>
      <c r="AK12" s="141"/>
      <c r="AL12" s="142"/>
      <c r="AM12" s="142"/>
      <c r="AN12" s="142"/>
    </row>
    <row r="13" spans="1:40" ht="20.75" customHeight="1">
      <c r="A13" s="14">
        <v>8</v>
      </c>
      <c r="B13" s="338"/>
      <c r="C13" s="341"/>
      <c r="D13" s="342"/>
      <c r="E13" s="357"/>
      <c r="F13" s="359"/>
      <c r="G13" s="361"/>
      <c r="H13" s="364"/>
      <c r="I13" s="19"/>
      <c r="J13" s="80" t="str">
        <f>IF($C13="","",IFERROR(VLOOKUP($C13,'Valeurs Règlements Nature'!$A$5:$G$8,3,FALSE),""))</f>
        <v/>
      </c>
      <c r="K13" s="81" t="str">
        <f>IF($C13="","",IFERROR(VLOOKUP($C13,'Valeurs Règlements Nature'!$A$5:$G$8,4,FALSE),""))</f>
        <v/>
      </c>
      <c r="L13" s="81" t="str">
        <f>IF($C13="","",IFERROR(VLOOKUP($C13,'Valeurs Règlements Nature'!$A$5:$G$8,5,FALSE),""))</f>
        <v/>
      </c>
      <c r="M13" s="81" t="str">
        <f>IF($C13="","",IFERROR(VLOOKUP($C13,'Valeurs Règlements Nature'!$A$5:$G$8,6,FALSE),""))</f>
        <v/>
      </c>
      <c r="N13" s="160" t="str">
        <f>IF($C13="","",IFERROR(VLOOKUP($C13,'Valeurs Règlements Nature'!$A$5:$G$8,7,FALSE),""))</f>
        <v/>
      </c>
      <c r="O13" s="45" t="str">
        <f t="shared" si="2"/>
        <v/>
      </c>
      <c r="P13" s="44" t="str">
        <f>IF(OR($C13="",NOT(ISNUMBER(F13))),"",AND(F13&gt;='Valeurs Règlements Nature'!$F$17,F13&lt;=L13))</f>
        <v/>
      </c>
      <c r="Q13" s="44" t="str">
        <f>IF(OR($C13="",NOT(ISNUMBER(G13))),"",AND(G13&gt;='Valeurs Règlements Nature'!$F$17,G13&lt;=M13))</f>
        <v/>
      </c>
      <c r="R13" s="191" t="str">
        <f>IF(OR($C13="",NOT(ISNUMBER(H13))),"",AND(H13&gt;='Valeurs Règlements Nature'!$F$17,H13&lt;=N13))</f>
        <v/>
      </c>
      <c r="S13" s="227" t="str">
        <f>IF(OR(NOT(ISNUMBER(E13)),NOT(ISNUMBER(F13))),"",IF(AND(E13&gt;=F13,ABS(E13-F13)&lt;='Valeurs Règlements Nature'!$F$16),"OK","Hors Fourchette"))</f>
        <v/>
      </c>
      <c r="T13" s="227"/>
      <c r="U13" s="227" t="str">
        <f>IF(OR(NOT(ISNUMBER(F13)),NOT(ISNUMBER(G13))),"",IF(AND(F13&gt;=G13,ABS(F13-G13)&lt;='Valeurs Règlements Nature'!$F$16),"OK","Hors Fourchette"))</f>
        <v/>
      </c>
      <c r="V13" s="227"/>
      <c r="W13" s="227" t="str">
        <f>IF(OR(NOT(ISNUMBER(G13)),NOT(ISNUMBER(H13))),"",IF(AND(G13&gt;=H13,ABS(G13-H13)&lt;='Valeurs Règlements Nature'!$F$16),"OK","Hors Fourchette"))</f>
        <v/>
      </c>
      <c r="X13" s="227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1"/>
      <c r="AJ13" s="141"/>
      <c r="AK13" s="141"/>
      <c r="AL13" s="142"/>
      <c r="AM13" s="142"/>
      <c r="AN13" s="142"/>
    </row>
    <row r="14" spans="1:40" ht="20.75" customHeight="1">
      <c r="A14" s="14">
        <v>9</v>
      </c>
      <c r="B14" s="338"/>
      <c r="C14" s="341"/>
      <c r="D14" s="342"/>
      <c r="E14" s="357"/>
      <c r="F14" s="359"/>
      <c r="G14" s="361"/>
      <c r="H14" s="364"/>
      <c r="I14" s="19"/>
      <c r="J14" s="80" t="str">
        <f>IF($C14="","",IFERROR(VLOOKUP($C14,'Valeurs Règlements Nature'!$A$5:$G$8,3,FALSE),""))</f>
        <v/>
      </c>
      <c r="K14" s="81" t="str">
        <f>IF($C14="","",IFERROR(VLOOKUP($C14,'Valeurs Règlements Nature'!$A$5:$G$8,4,FALSE),""))</f>
        <v/>
      </c>
      <c r="L14" s="81" t="str">
        <f>IF($C14="","",IFERROR(VLOOKUP($C14,'Valeurs Règlements Nature'!$A$5:$G$8,5,FALSE),""))</f>
        <v/>
      </c>
      <c r="M14" s="81" t="str">
        <f>IF($C14="","",IFERROR(VLOOKUP($C14,'Valeurs Règlements Nature'!$A$5:$G$8,6,FALSE),""))</f>
        <v/>
      </c>
      <c r="N14" s="160" t="str">
        <f>IF($C14="","",IFERROR(VLOOKUP($C14,'Valeurs Règlements Nature'!$A$5:$G$8,7,FALSE),""))</f>
        <v/>
      </c>
      <c r="O14" s="45" t="str">
        <f t="shared" si="2"/>
        <v/>
      </c>
      <c r="P14" s="44" t="str">
        <f>IF(OR($C14="",NOT(ISNUMBER(F14))),"",AND(F14&gt;='Valeurs Règlements Nature'!$F$17,F14&lt;=L14))</f>
        <v/>
      </c>
      <c r="Q14" s="44" t="str">
        <f>IF(OR($C14="",NOT(ISNUMBER(G14))),"",AND(G14&gt;='Valeurs Règlements Nature'!$F$17,G14&lt;=M14))</f>
        <v/>
      </c>
      <c r="R14" s="191" t="str">
        <f>IF(OR($C14="",NOT(ISNUMBER(H14))),"",AND(H14&gt;='Valeurs Règlements Nature'!$F$17,H14&lt;=N14))</f>
        <v/>
      </c>
      <c r="S14" s="227" t="str">
        <f>IF(OR(NOT(ISNUMBER(E14)),NOT(ISNUMBER(F14))),"",IF(AND(E14&gt;=F14,ABS(E14-F14)&lt;='Valeurs Règlements Nature'!$F$16),"OK","Hors Fourchette"))</f>
        <v/>
      </c>
      <c r="T14" s="227"/>
      <c r="U14" s="227" t="str">
        <f>IF(OR(NOT(ISNUMBER(F14)),NOT(ISNUMBER(G14))),"",IF(AND(F14&gt;=G14,ABS(F14-G14)&lt;='Valeurs Règlements Nature'!$F$16),"OK","Hors Fourchette"))</f>
        <v/>
      </c>
      <c r="V14" s="227"/>
      <c r="W14" s="227" t="str">
        <f>IF(OR(NOT(ISNUMBER(G14)),NOT(ISNUMBER(H14))),"",IF(AND(G14&gt;=H14,ABS(G14-H14)&lt;='Valeurs Règlements Nature'!$F$16),"OK","Hors Fourchette"))</f>
        <v/>
      </c>
      <c r="X14" s="227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1"/>
      <c r="AJ14" s="141"/>
      <c r="AK14" s="141"/>
      <c r="AL14" s="142"/>
      <c r="AM14" s="142"/>
      <c r="AN14" s="142"/>
    </row>
    <row r="15" spans="1:40" ht="20.75" customHeight="1">
      <c r="A15" s="14">
        <v>10</v>
      </c>
      <c r="B15" s="338"/>
      <c r="C15" s="341"/>
      <c r="D15" s="342"/>
      <c r="E15" s="357"/>
      <c r="F15" s="359"/>
      <c r="G15" s="361"/>
      <c r="H15" s="364"/>
      <c r="I15" s="19"/>
      <c r="J15" s="80" t="str">
        <f>IF($C15="","",IFERROR(VLOOKUP($C15,'Valeurs Règlements Nature'!$A$5:$G$8,3,FALSE),""))</f>
        <v/>
      </c>
      <c r="K15" s="81" t="str">
        <f>IF($C15="","",IFERROR(VLOOKUP($C15,'Valeurs Règlements Nature'!$A$5:$G$8,4,FALSE),""))</f>
        <v/>
      </c>
      <c r="L15" s="81" t="str">
        <f>IF($C15="","",IFERROR(VLOOKUP($C15,'Valeurs Règlements Nature'!$A$5:$G$8,5,FALSE),""))</f>
        <v/>
      </c>
      <c r="M15" s="81" t="str">
        <f>IF($C15="","",IFERROR(VLOOKUP($C15,'Valeurs Règlements Nature'!$A$5:$G$8,6,FALSE),""))</f>
        <v/>
      </c>
      <c r="N15" s="160" t="str">
        <f>IF($C15="","",IFERROR(VLOOKUP($C15,'Valeurs Règlements Nature'!$A$5:$G$8,7,FALSE),""))</f>
        <v/>
      </c>
      <c r="O15" s="45" t="str">
        <f t="shared" si="2"/>
        <v/>
      </c>
      <c r="P15" s="44" t="str">
        <f>IF(OR($C15="",NOT(ISNUMBER(F15))),"",AND(F15&gt;='Valeurs Règlements Nature'!$F$17,F15&lt;=L15))</f>
        <v/>
      </c>
      <c r="Q15" s="44" t="str">
        <f>IF(OR($C15="",NOT(ISNUMBER(G15))),"",AND(G15&gt;='Valeurs Règlements Nature'!$F$17,G15&lt;=M15))</f>
        <v/>
      </c>
      <c r="R15" s="191" t="str">
        <f>IF(OR($C15="",NOT(ISNUMBER(H15))),"",AND(H15&gt;='Valeurs Règlements Nature'!$F$17,H15&lt;=N15))</f>
        <v/>
      </c>
      <c r="S15" s="227" t="str">
        <f>IF(OR(NOT(ISNUMBER(E15)),NOT(ISNUMBER(F15))),"",IF(AND(E15&gt;=F15,ABS(E15-F15)&lt;='Valeurs Règlements Nature'!$F$16),"OK","Hors Fourchette"))</f>
        <v/>
      </c>
      <c r="T15" s="227"/>
      <c r="U15" s="227" t="str">
        <f>IF(OR(NOT(ISNUMBER(F15)),NOT(ISNUMBER(G15))),"",IF(AND(F15&gt;=G15,ABS(F15-G15)&lt;='Valeurs Règlements Nature'!$F$16),"OK","Hors Fourchette"))</f>
        <v/>
      </c>
      <c r="V15" s="227"/>
      <c r="W15" s="227" t="str">
        <f>IF(OR(NOT(ISNUMBER(G15)),NOT(ISNUMBER(H15))),"",IF(AND(G15&gt;=H15,ABS(G15-H15)&lt;='Valeurs Règlements Nature'!$F$16),"OK","Hors Fourchette"))</f>
        <v/>
      </c>
      <c r="X15" s="227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1"/>
      <c r="AJ15" s="141"/>
      <c r="AK15" s="141"/>
      <c r="AL15" s="142"/>
      <c r="AM15" s="142"/>
      <c r="AN15" s="142"/>
    </row>
    <row r="16" spans="1:40" ht="20.75" customHeight="1">
      <c r="A16" s="14">
        <v>11</v>
      </c>
      <c r="B16" s="343"/>
      <c r="C16" s="341"/>
      <c r="D16" s="342"/>
      <c r="E16" s="357"/>
      <c r="F16" s="359"/>
      <c r="G16" s="361"/>
      <c r="H16" s="364"/>
      <c r="I16" s="19"/>
      <c r="J16" s="80" t="str">
        <f>IF($C16="","",IFERROR(VLOOKUP($C16,'Valeurs Règlements Nature'!$A$5:$G$8,3,FALSE),""))</f>
        <v/>
      </c>
      <c r="K16" s="81" t="str">
        <f>IF($C16="","",IFERROR(VLOOKUP($C16,'Valeurs Règlements Nature'!$A$5:$G$8,4,FALSE),""))</f>
        <v/>
      </c>
      <c r="L16" s="81" t="str">
        <f>IF($C16="","",IFERROR(VLOOKUP($C16,'Valeurs Règlements Nature'!$A$5:$G$8,5,FALSE),""))</f>
        <v/>
      </c>
      <c r="M16" s="81" t="str">
        <f>IF($C16="","",IFERROR(VLOOKUP($C16,'Valeurs Règlements Nature'!$A$5:$G$8,6,FALSE),""))</f>
        <v/>
      </c>
      <c r="N16" s="160" t="str">
        <f>IF($C16="","",IFERROR(VLOOKUP($C16,'Valeurs Règlements Nature'!$A$5:$G$8,7,FALSE),""))</f>
        <v/>
      </c>
      <c r="O16" s="45" t="str">
        <f t="shared" si="2"/>
        <v/>
      </c>
      <c r="P16" s="44" t="str">
        <f>IF(OR($C16="",NOT(ISNUMBER(F16))),"",AND(F16&gt;='Valeurs Règlements Nature'!$F$17,F16&lt;=L16))</f>
        <v/>
      </c>
      <c r="Q16" s="44" t="str">
        <f>IF(OR($C16="",NOT(ISNUMBER(G16))),"",AND(G16&gt;='Valeurs Règlements Nature'!$F$17,G16&lt;=M16))</f>
        <v/>
      </c>
      <c r="R16" s="191" t="str">
        <f>IF(OR($C16="",NOT(ISNUMBER(H16))),"",AND(H16&gt;='Valeurs Règlements Nature'!$F$17,H16&lt;=N16))</f>
        <v/>
      </c>
      <c r="S16" s="227" t="str">
        <f>IF(OR(NOT(ISNUMBER(E16)),NOT(ISNUMBER(F16))),"",IF(AND(E16&gt;=F16,ABS(E16-F16)&lt;='Valeurs Règlements Nature'!$F$16),"OK","Hors Fourchette"))</f>
        <v/>
      </c>
      <c r="T16" s="227"/>
      <c r="U16" s="227" t="str">
        <f>IF(OR(NOT(ISNUMBER(F16)),NOT(ISNUMBER(G16))),"",IF(AND(F16&gt;=G16,ABS(F16-G16)&lt;='Valeurs Règlements Nature'!$F$16),"OK","Hors Fourchette"))</f>
        <v/>
      </c>
      <c r="V16" s="227"/>
      <c r="W16" s="227" t="str">
        <f>IF(OR(NOT(ISNUMBER(G16)),NOT(ISNUMBER(H16))),"",IF(AND(G16&gt;=H16,ABS(G16-H16)&lt;='Valeurs Règlements Nature'!$F$16),"OK","Hors Fourchette"))</f>
        <v/>
      </c>
      <c r="X16" s="227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1"/>
      <c r="AJ16" s="141"/>
      <c r="AK16" s="141"/>
      <c r="AL16" s="142"/>
      <c r="AM16" s="142"/>
      <c r="AN16" s="142"/>
    </row>
    <row r="17" spans="1:210" ht="20.75" customHeight="1">
      <c r="A17" s="14">
        <v>12</v>
      </c>
      <c r="B17" s="338"/>
      <c r="C17" s="341"/>
      <c r="D17" s="342"/>
      <c r="E17" s="357"/>
      <c r="F17" s="359"/>
      <c r="G17" s="361"/>
      <c r="H17" s="363"/>
      <c r="I17" s="19"/>
      <c r="J17" s="80" t="str">
        <f>IF($C17="","",IFERROR(VLOOKUP($C17,'Valeurs Règlements Nature'!$A$5:$G$8,3,FALSE),""))</f>
        <v/>
      </c>
      <c r="K17" s="81" t="str">
        <f>IF($C17="","",IFERROR(VLOOKUP($C17,'Valeurs Règlements Nature'!$A$5:$G$8,4,FALSE),""))</f>
        <v/>
      </c>
      <c r="L17" s="81" t="str">
        <f>IF($C17="","",IFERROR(VLOOKUP($C17,'Valeurs Règlements Nature'!$A$5:$G$8,5,FALSE),""))</f>
        <v/>
      </c>
      <c r="M17" s="81" t="str">
        <f>IF($C17="","",IFERROR(VLOOKUP($C17,'Valeurs Règlements Nature'!$A$5:$G$8,6,FALSE),""))</f>
        <v/>
      </c>
      <c r="N17" s="160" t="str">
        <f>IF($C17="","",IFERROR(VLOOKUP($C17,'Valeurs Règlements Nature'!$A$5:$G$8,7,FALSE),""))</f>
        <v/>
      </c>
      <c r="O17" s="45" t="str">
        <f t="shared" si="2"/>
        <v/>
      </c>
      <c r="P17" s="44" t="str">
        <f>IF(OR($C17="",NOT(ISNUMBER(F17))),"",AND(F17&gt;='Valeurs Règlements Nature'!$F$17,F17&lt;=L17))</f>
        <v/>
      </c>
      <c r="Q17" s="44" t="str">
        <f>IF(OR($C17="",NOT(ISNUMBER(G17))),"",AND(G17&gt;='Valeurs Règlements Nature'!$F$17,G17&lt;=M17))</f>
        <v/>
      </c>
      <c r="R17" s="191" t="str">
        <f>IF(OR($C17="",NOT(ISNUMBER(H17))),"",AND(H17&gt;='Valeurs Règlements Nature'!$F$17,H17&lt;=N17))</f>
        <v/>
      </c>
      <c r="S17" s="227" t="str">
        <f>IF(OR(NOT(ISNUMBER(E17)),NOT(ISNUMBER(F17))),"",IF(AND(E17&gt;=F17,ABS(E17-F17)&lt;='Valeurs Règlements Nature'!$F$16),"OK","Hors Fourchette"))</f>
        <v/>
      </c>
      <c r="T17" s="227"/>
      <c r="U17" s="227" t="str">
        <f>IF(OR(NOT(ISNUMBER(F17)),NOT(ISNUMBER(G17))),"",IF(AND(F17&gt;=G17,ABS(F17-G17)&lt;='Valeurs Règlements Nature'!$F$16),"OK","Hors Fourchette"))</f>
        <v/>
      </c>
      <c r="V17" s="227"/>
      <c r="W17" s="227" t="str">
        <f>IF(OR(NOT(ISNUMBER(G17)),NOT(ISNUMBER(H17))),"",IF(AND(G17&gt;=H17,ABS(G17-H17)&lt;='Valeurs Règlements Nature'!$F$16),"OK","Hors Fourchette"))</f>
        <v/>
      </c>
      <c r="X17" s="227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1"/>
      <c r="AJ17" s="141"/>
      <c r="AK17" s="141"/>
      <c r="AL17" s="142"/>
      <c r="AM17" s="142"/>
      <c r="AN17" s="142"/>
    </row>
    <row r="18" spans="1:210" ht="20.75" customHeight="1">
      <c r="A18" s="14">
        <v>13</v>
      </c>
      <c r="B18" s="338"/>
      <c r="C18" s="341"/>
      <c r="D18" s="342"/>
      <c r="E18" s="357"/>
      <c r="F18" s="359"/>
      <c r="G18" s="361"/>
      <c r="H18" s="364"/>
      <c r="I18" s="19"/>
      <c r="J18" s="80" t="str">
        <f>IF($C18="","",IFERROR(VLOOKUP($C18,'Valeurs Règlements Nature'!$A$5:$G$8,3,FALSE),""))</f>
        <v/>
      </c>
      <c r="K18" s="81" t="str">
        <f>IF($C18="","",IFERROR(VLOOKUP($C18,'Valeurs Règlements Nature'!$A$5:$G$8,4,FALSE),""))</f>
        <v/>
      </c>
      <c r="L18" s="81" t="str">
        <f>IF($C18="","",IFERROR(VLOOKUP($C18,'Valeurs Règlements Nature'!$A$5:$G$8,5,FALSE),""))</f>
        <v/>
      </c>
      <c r="M18" s="81" t="str">
        <f>IF($C18="","",IFERROR(VLOOKUP($C18,'Valeurs Règlements Nature'!$A$5:$G$8,6,FALSE),""))</f>
        <v/>
      </c>
      <c r="N18" s="160" t="str">
        <f>IF($C18="","",IFERROR(VLOOKUP($C18,'Valeurs Règlements Nature'!$A$5:$G$8,7,FALSE),""))</f>
        <v/>
      </c>
      <c r="O18" s="45" t="str">
        <f t="shared" si="2"/>
        <v/>
      </c>
      <c r="P18" s="44" t="str">
        <f>IF(OR($C18="",NOT(ISNUMBER(F18))),"",AND(F18&gt;='Valeurs Règlements Nature'!$F$17,F18&lt;=L18))</f>
        <v/>
      </c>
      <c r="Q18" s="44" t="str">
        <f>IF(OR($C18="",NOT(ISNUMBER(G18))),"",AND(G18&gt;='Valeurs Règlements Nature'!$F$17,G18&lt;=M18))</f>
        <v/>
      </c>
      <c r="R18" s="191" t="str">
        <f>IF(OR($C18="",NOT(ISNUMBER(H18))),"",AND(H18&gt;='Valeurs Règlements Nature'!$F$17,H18&lt;=N18))</f>
        <v/>
      </c>
      <c r="S18" s="227" t="str">
        <f>IF(OR(NOT(ISNUMBER(E18)),NOT(ISNUMBER(F18))),"",IF(AND(E18&gt;=F18,ABS(E18-F18)&lt;='Valeurs Règlements Nature'!$F$16),"OK","Hors Fourchette"))</f>
        <v/>
      </c>
      <c r="T18" s="227"/>
      <c r="U18" s="227" t="str">
        <f>IF(OR(NOT(ISNUMBER(F18)),NOT(ISNUMBER(G18))),"",IF(AND(F18&gt;=G18,ABS(F18-G18)&lt;='Valeurs Règlements Nature'!$F$16),"OK","Hors Fourchette"))</f>
        <v/>
      </c>
      <c r="V18" s="227"/>
      <c r="W18" s="227" t="str">
        <f>IF(OR(NOT(ISNUMBER(G18)),NOT(ISNUMBER(H18))),"",IF(AND(G18&gt;=H18,ABS(G18-H18)&lt;='Valeurs Règlements Nature'!$F$16),"OK","Hors Fourchette"))</f>
        <v/>
      </c>
      <c r="X18" s="227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1"/>
      <c r="AJ18" s="141"/>
      <c r="AK18" s="141"/>
      <c r="AL18" s="142"/>
      <c r="AM18" s="142"/>
      <c r="AN18" s="142"/>
    </row>
    <row r="19" spans="1:210" ht="20.75" customHeight="1">
      <c r="A19" s="14">
        <v>14</v>
      </c>
      <c r="B19" s="338"/>
      <c r="C19" s="341"/>
      <c r="D19" s="342"/>
      <c r="E19" s="357"/>
      <c r="F19" s="359"/>
      <c r="G19" s="361"/>
      <c r="H19" s="364"/>
      <c r="I19" s="19"/>
      <c r="J19" s="80" t="str">
        <f>IF($C19="","",IFERROR(VLOOKUP($C19,'Valeurs Règlements Nature'!$A$5:$G$8,3,FALSE),""))</f>
        <v/>
      </c>
      <c r="K19" s="81" t="str">
        <f>IF($C19="","",IFERROR(VLOOKUP($C19,'Valeurs Règlements Nature'!$A$5:$G$8,4,FALSE),""))</f>
        <v/>
      </c>
      <c r="L19" s="81" t="str">
        <f>IF($C19="","",IFERROR(VLOOKUP($C19,'Valeurs Règlements Nature'!$A$5:$G$8,5,FALSE),""))</f>
        <v/>
      </c>
      <c r="M19" s="81" t="str">
        <f>IF($C19="","",IFERROR(VLOOKUP($C19,'Valeurs Règlements Nature'!$A$5:$G$8,6,FALSE),""))</f>
        <v/>
      </c>
      <c r="N19" s="160" t="str">
        <f>IF($C19="","",IFERROR(VLOOKUP($C19,'Valeurs Règlements Nature'!$A$5:$G$8,7,FALSE),""))</f>
        <v/>
      </c>
      <c r="O19" s="45" t="str">
        <f t="shared" si="2"/>
        <v/>
      </c>
      <c r="P19" s="44" t="str">
        <f>IF(OR($C19="",NOT(ISNUMBER(F19))),"",AND(F19&gt;='Valeurs Règlements Nature'!$F$17,F19&lt;=L19))</f>
        <v/>
      </c>
      <c r="Q19" s="44" t="str">
        <f>IF(OR($C19="",NOT(ISNUMBER(G19))),"",AND(G19&gt;='Valeurs Règlements Nature'!$F$17,G19&lt;=M19))</f>
        <v/>
      </c>
      <c r="R19" s="191" t="str">
        <f>IF(OR($C19="",NOT(ISNUMBER(H19))),"",AND(H19&gt;='Valeurs Règlements Nature'!$F$17,H19&lt;=N19))</f>
        <v/>
      </c>
      <c r="S19" s="227" t="str">
        <f>IF(OR(NOT(ISNUMBER(E19)),NOT(ISNUMBER(F19))),"",IF(AND(E19&gt;=F19,ABS(E19-F19)&lt;='Valeurs Règlements Nature'!$F$16),"OK","Hors Fourchette"))</f>
        <v/>
      </c>
      <c r="T19" s="227"/>
      <c r="U19" s="227" t="str">
        <f>IF(OR(NOT(ISNUMBER(F19)),NOT(ISNUMBER(G19))),"",IF(AND(F19&gt;=G19,ABS(F19-G19)&lt;='Valeurs Règlements Nature'!$F$16),"OK","Hors Fourchette"))</f>
        <v/>
      </c>
      <c r="V19" s="227"/>
      <c r="W19" s="227" t="str">
        <f>IF(OR(NOT(ISNUMBER(G19)),NOT(ISNUMBER(H19))),"",IF(AND(G19&gt;=H19,ABS(G19-H19)&lt;='Valeurs Règlements Nature'!$F$16),"OK","Hors Fourchette"))</f>
        <v/>
      </c>
      <c r="X19" s="227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1"/>
      <c r="AJ19" s="141"/>
      <c r="AK19" s="141"/>
      <c r="AL19" s="142"/>
      <c r="AM19" s="142"/>
      <c r="AN19" s="142"/>
    </row>
    <row r="20" spans="1:210" ht="20.75" customHeight="1">
      <c r="A20" s="14">
        <v>15</v>
      </c>
      <c r="B20" s="338"/>
      <c r="C20" s="341"/>
      <c r="D20" s="342"/>
      <c r="E20" s="357"/>
      <c r="F20" s="359"/>
      <c r="G20" s="361"/>
      <c r="H20" s="364"/>
      <c r="I20" s="19"/>
      <c r="J20" s="80" t="str">
        <f>IF($C20="","",IFERROR(VLOOKUP($C20,'Valeurs Règlements Nature'!$A$5:$G$8,3,FALSE),""))</f>
        <v/>
      </c>
      <c r="K20" s="81" t="str">
        <f>IF($C20="","",IFERROR(VLOOKUP($C20,'Valeurs Règlements Nature'!$A$5:$G$8,4,FALSE),""))</f>
        <v/>
      </c>
      <c r="L20" s="81" t="str">
        <f>IF($C20="","",IFERROR(VLOOKUP($C20,'Valeurs Règlements Nature'!$A$5:$G$8,5,FALSE),""))</f>
        <v/>
      </c>
      <c r="M20" s="81" t="str">
        <f>IF($C20="","",IFERROR(VLOOKUP($C20,'Valeurs Règlements Nature'!$A$5:$G$8,6,FALSE),""))</f>
        <v/>
      </c>
      <c r="N20" s="160" t="str">
        <f>IF($C20="","",IFERROR(VLOOKUP($C20,'Valeurs Règlements Nature'!$A$5:$G$8,7,FALSE),""))</f>
        <v/>
      </c>
      <c r="O20" s="45" t="str">
        <f t="shared" si="2"/>
        <v/>
      </c>
      <c r="P20" s="44" t="str">
        <f>IF(OR($C20="",NOT(ISNUMBER(F20))),"",AND(F20&gt;='Valeurs Règlements Nature'!$F$17,F20&lt;=L20))</f>
        <v/>
      </c>
      <c r="Q20" s="44" t="str">
        <f>IF(OR($C20="",NOT(ISNUMBER(G20))),"",AND(G20&gt;='Valeurs Règlements Nature'!$F$17,G20&lt;=M20))</f>
        <v/>
      </c>
      <c r="R20" s="191" t="str">
        <f>IF(OR($C20="",NOT(ISNUMBER(H20))),"",AND(H20&gt;='Valeurs Règlements Nature'!$F$17,H20&lt;=N20))</f>
        <v/>
      </c>
      <c r="S20" s="227" t="str">
        <f>IF(OR(NOT(ISNUMBER(E20)),NOT(ISNUMBER(F20))),"",IF(AND(E20&gt;=F20,ABS(E20-F20)&lt;='Valeurs Règlements Nature'!$F$16),"OK","Hors Fourchette"))</f>
        <v/>
      </c>
      <c r="T20" s="227"/>
      <c r="U20" s="227" t="str">
        <f>IF(OR(NOT(ISNUMBER(F20)),NOT(ISNUMBER(G20))),"",IF(AND(F20&gt;=G20,ABS(F20-G20)&lt;='Valeurs Règlements Nature'!$F$16),"OK","Hors Fourchette"))</f>
        <v/>
      </c>
      <c r="V20" s="227"/>
      <c r="W20" s="227" t="str">
        <f>IF(OR(NOT(ISNUMBER(G20)),NOT(ISNUMBER(H20))),"",IF(AND(G20&gt;=H20,ABS(G20-H20)&lt;='Valeurs Règlements Nature'!$F$16),"OK","Hors Fourchette"))</f>
        <v/>
      </c>
      <c r="X20" s="227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1"/>
      <c r="AJ20" s="141"/>
      <c r="AK20" s="141"/>
      <c r="AL20" s="142"/>
      <c r="AM20" s="142"/>
      <c r="AN20" s="142"/>
    </row>
    <row r="21" spans="1:210" ht="20.75" customHeight="1">
      <c r="A21" s="14">
        <v>16</v>
      </c>
      <c r="B21" s="338"/>
      <c r="C21" s="341"/>
      <c r="D21" s="342"/>
      <c r="E21" s="357"/>
      <c r="F21" s="359"/>
      <c r="G21" s="361"/>
      <c r="H21" s="364"/>
      <c r="I21" s="19"/>
      <c r="J21" s="80" t="str">
        <f>IF($C21="","",IFERROR(VLOOKUP($C21,'Valeurs Règlements Nature'!$A$5:$G$8,3,FALSE),""))</f>
        <v/>
      </c>
      <c r="K21" s="81" t="str">
        <f>IF($C21="","",IFERROR(VLOOKUP($C21,'Valeurs Règlements Nature'!$A$5:$G$8,4,FALSE),""))</f>
        <v/>
      </c>
      <c r="L21" s="81" t="str">
        <f>IF($C21="","",IFERROR(VLOOKUP($C21,'Valeurs Règlements Nature'!$A$5:$G$8,5,FALSE),""))</f>
        <v/>
      </c>
      <c r="M21" s="81" t="str">
        <f>IF($C21="","",IFERROR(VLOOKUP($C21,'Valeurs Règlements Nature'!$A$5:$G$8,6,FALSE),""))</f>
        <v/>
      </c>
      <c r="N21" s="160" t="str">
        <f>IF($C21="","",IFERROR(VLOOKUP($C21,'Valeurs Règlements Nature'!$A$5:$G$8,7,FALSE),""))</f>
        <v/>
      </c>
      <c r="O21" s="45" t="str">
        <f t="shared" si="2"/>
        <v/>
      </c>
      <c r="P21" s="44" t="str">
        <f>IF(OR($C21="",NOT(ISNUMBER(F21))),"",AND(F21&gt;='Valeurs Règlements Nature'!$F$17,F21&lt;=L21))</f>
        <v/>
      </c>
      <c r="Q21" s="44" t="str">
        <f>IF(OR($C21="",NOT(ISNUMBER(G21))),"",AND(G21&gt;='Valeurs Règlements Nature'!$F$17,G21&lt;=M21))</f>
        <v/>
      </c>
      <c r="R21" s="191" t="str">
        <f>IF(OR($C21="",NOT(ISNUMBER(H21))),"",AND(H21&gt;='Valeurs Règlements Nature'!$F$17,H21&lt;=N21))</f>
        <v/>
      </c>
      <c r="S21" s="227" t="str">
        <f>IF(OR(NOT(ISNUMBER(E21)),NOT(ISNUMBER(F21))),"",IF(AND(E21&gt;=F21,ABS(E21-F21)&lt;='Valeurs Règlements Nature'!$F$16),"OK","Hors Fourchette"))</f>
        <v/>
      </c>
      <c r="T21" s="227"/>
      <c r="U21" s="227" t="str">
        <f>IF(OR(NOT(ISNUMBER(F21)),NOT(ISNUMBER(G21))),"",IF(AND(F21&gt;=G21,ABS(F21-G21)&lt;='Valeurs Règlements Nature'!$F$16),"OK","Hors Fourchette"))</f>
        <v/>
      </c>
      <c r="V21" s="227"/>
      <c r="W21" s="227" t="str">
        <f>IF(OR(NOT(ISNUMBER(G21)),NOT(ISNUMBER(H21))),"",IF(AND(G21&gt;=H21,ABS(G21-H21)&lt;='Valeurs Règlements Nature'!$F$16),"OK","Hors Fourchette"))</f>
        <v/>
      </c>
      <c r="X21" s="227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1"/>
      <c r="AJ21" s="141"/>
      <c r="AK21" s="141"/>
      <c r="AL21" s="142"/>
      <c r="AM21" s="142"/>
      <c r="AN21" s="142"/>
    </row>
    <row r="22" spans="1:210" ht="20.75" customHeight="1">
      <c r="A22" s="14">
        <v>17</v>
      </c>
      <c r="B22" s="338"/>
      <c r="C22" s="341"/>
      <c r="D22" s="342"/>
      <c r="E22" s="357"/>
      <c r="F22" s="359"/>
      <c r="G22" s="361"/>
      <c r="H22" s="364"/>
      <c r="I22" s="19"/>
      <c r="J22" s="80" t="str">
        <f>IF($C22="","",IFERROR(VLOOKUP($C22,'Valeurs Règlements Nature'!$A$5:$G$8,3,FALSE),""))</f>
        <v/>
      </c>
      <c r="K22" s="81" t="str">
        <f>IF($C22="","",IFERROR(VLOOKUP($C22,'Valeurs Règlements Nature'!$A$5:$G$8,4,FALSE),""))</f>
        <v/>
      </c>
      <c r="L22" s="81" t="str">
        <f>IF($C22="","",IFERROR(VLOOKUP($C22,'Valeurs Règlements Nature'!$A$5:$G$8,5,FALSE),""))</f>
        <v/>
      </c>
      <c r="M22" s="81" t="str">
        <f>IF($C22="","",IFERROR(VLOOKUP($C22,'Valeurs Règlements Nature'!$A$5:$G$8,6,FALSE),""))</f>
        <v/>
      </c>
      <c r="N22" s="160" t="str">
        <f>IF($C22="","",IFERROR(VLOOKUP($C22,'Valeurs Règlements Nature'!$A$5:$G$8,7,FALSE),""))</f>
        <v/>
      </c>
      <c r="O22" s="45" t="str">
        <f t="shared" si="2"/>
        <v/>
      </c>
      <c r="P22" s="44" t="str">
        <f>IF(OR($C22="",NOT(ISNUMBER(F22))),"",AND(F22&gt;='Valeurs Règlements Nature'!$F$17,F22&lt;=L22))</f>
        <v/>
      </c>
      <c r="Q22" s="44" t="str">
        <f>IF(OR($C22="",NOT(ISNUMBER(G22))),"",AND(G22&gt;='Valeurs Règlements Nature'!$F$17,G22&lt;=M22))</f>
        <v/>
      </c>
      <c r="R22" s="191" t="str">
        <f>IF(OR($C22="",NOT(ISNUMBER(H22))),"",AND(H22&gt;='Valeurs Règlements Nature'!$F$17,H22&lt;=N22))</f>
        <v/>
      </c>
      <c r="S22" s="227" t="str">
        <f>IF(OR(NOT(ISNUMBER(E22)),NOT(ISNUMBER(F22))),"",IF(AND(E22&gt;=F22,ABS(E22-F22)&lt;='Valeurs Règlements Nature'!$F$16),"OK","Hors Fourchette"))</f>
        <v/>
      </c>
      <c r="T22" s="227"/>
      <c r="U22" s="227" t="str">
        <f>IF(OR(NOT(ISNUMBER(F22)),NOT(ISNUMBER(G22))),"",IF(AND(F22&gt;=G22,ABS(F22-G22)&lt;='Valeurs Règlements Nature'!$F$16),"OK","Hors Fourchette"))</f>
        <v/>
      </c>
      <c r="V22" s="227"/>
      <c r="W22" s="227" t="str">
        <f>IF(OR(NOT(ISNUMBER(G22)),NOT(ISNUMBER(H22))),"",IF(AND(G22&gt;=H22,ABS(G22-H22)&lt;='Valeurs Règlements Nature'!$F$16),"OK","Hors Fourchette"))</f>
        <v/>
      </c>
      <c r="X22" s="227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1"/>
      <c r="AJ22" s="141"/>
      <c r="AK22" s="141"/>
      <c r="AL22" s="142"/>
      <c r="AM22" s="142"/>
      <c r="AN22" s="142"/>
    </row>
    <row r="23" spans="1:210" ht="20.75" customHeight="1">
      <c r="A23" s="14">
        <v>18</v>
      </c>
      <c r="B23" s="338"/>
      <c r="C23" s="341"/>
      <c r="D23" s="342"/>
      <c r="E23" s="357"/>
      <c r="F23" s="359"/>
      <c r="G23" s="361"/>
      <c r="H23" s="364"/>
      <c r="I23" s="19"/>
      <c r="J23" s="80" t="str">
        <f>IF($C23="","",IFERROR(VLOOKUP($C23,'Valeurs Règlements Nature'!$A$5:$G$8,3,FALSE),""))</f>
        <v/>
      </c>
      <c r="K23" s="81" t="str">
        <f>IF($C23="","",IFERROR(VLOOKUP($C23,'Valeurs Règlements Nature'!$A$5:$G$8,4,FALSE),""))</f>
        <v/>
      </c>
      <c r="L23" s="81" t="str">
        <f>IF($C23="","",IFERROR(VLOOKUP($C23,'Valeurs Règlements Nature'!$A$5:$G$8,5,FALSE),""))</f>
        <v/>
      </c>
      <c r="M23" s="81" t="str">
        <f>IF($C23="","",IFERROR(VLOOKUP($C23,'Valeurs Règlements Nature'!$A$5:$G$8,6,FALSE),""))</f>
        <v/>
      </c>
      <c r="N23" s="160" t="str">
        <f>IF($C23="","",IFERROR(VLOOKUP($C23,'Valeurs Règlements Nature'!$A$5:$G$8,7,FALSE),""))</f>
        <v/>
      </c>
      <c r="O23" s="45" t="str">
        <f t="shared" si="2"/>
        <v/>
      </c>
      <c r="P23" s="44" t="str">
        <f>IF(OR($C23="",NOT(ISNUMBER(F23))),"",AND(F23&gt;='Valeurs Règlements Nature'!$F$17,F23&lt;=L23))</f>
        <v/>
      </c>
      <c r="Q23" s="44" t="str">
        <f>IF(OR($C23="",NOT(ISNUMBER(G23))),"",AND(G23&gt;='Valeurs Règlements Nature'!$F$17,G23&lt;=M23))</f>
        <v/>
      </c>
      <c r="R23" s="191" t="str">
        <f>IF(OR($C23="",NOT(ISNUMBER(H23))),"",AND(H23&gt;='Valeurs Règlements Nature'!$F$17,H23&lt;=N23))</f>
        <v/>
      </c>
      <c r="S23" s="227" t="str">
        <f>IF(OR(NOT(ISNUMBER(E23)),NOT(ISNUMBER(F23))),"",IF(AND(E23&gt;=F23,ABS(E23-F23)&lt;='Valeurs Règlements Nature'!$F$16),"OK","Hors Fourchette"))</f>
        <v/>
      </c>
      <c r="T23" s="227"/>
      <c r="U23" s="227" t="str">
        <f>IF(OR(NOT(ISNUMBER(F23)),NOT(ISNUMBER(G23))),"",IF(AND(F23&gt;=G23,ABS(F23-G23)&lt;='Valeurs Règlements Nature'!$F$16),"OK","Hors Fourchette"))</f>
        <v/>
      </c>
      <c r="V23" s="227"/>
      <c r="W23" s="227" t="str">
        <f>IF(OR(NOT(ISNUMBER(G23)),NOT(ISNUMBER(H23))),"",IF(AND(G23&gt;=H23,ABS(G23-H23)&lt;='Valeurs Règlements Nature'!$F$16),"OK","Hors Fourchette"))</f>
        <v/>
      </c>
      <c r="X23" s="227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1"/>
      <c r="AJ23" s="141"/>
      <c r="AK23" s="141"/>
      <c r="AL23" s="142"/>
      <c r="AM23" s="142"/>
      <c r="AN23" s="142"/>
    </row>
    <row r="24" spans="1:210" ht="20.75" customHeight="1">
      <c r="A24" s="14">
        <v>19</v>
      </c>
      <c r="B24" s="338"/>
      <c r="C24" s="341"/>
      <c r="D24" s="342"/>
      <c r="E24" s="357"/>
      <c r="F24" s="359"/>
      <c r="G24" s="361"/>
      <c r="H24" s="364"/>
      <c r="I24" s="19"/>
      <c r="J24" s="80" t="str">
        <f>IF($C24="","",IFERROR(VLOOKUP($C24,'Valeurs Règlements Nature'!$A$5:$G$8,3,FALSE),""))</f>
        <v/>
      </c>
      <c r="K24" s="81" t="str">
        <f>IF($C24="","",IFERROR(VLOOKUP($C24,'Valeurs Règlements Nature'!$A$5:$G$8,4,FALSE),""))</f>
        <v/>
      </c>
      <c r="L24" s="81" t="str">
        <f>IF($C24="","",IFERROR(VLOOKUP($C24,'Valeurs Règlements Nature'!$A$5:$G$8,5,FALSE),""))</f>
        <v/>
      </c>
      <c r="M24" s="81" t="str">
        <f>IF($C24="","",IFERROR(VLOOKUP($C24,'Valeurs Règlements Nature'!$A$5:$G$8,6,FALSE),""))</f>
        <v/>
      </c>
      <c r="N24" s="160" t="str">
        <f>IF($C24="","",IFERROR(VLOOKUP($C24,'Valeurs Règlements Nature'!$A$5:$G$8,7,FALSE),""))</f>
        <v/>
      </c>
      <c r="O24" s="45" t="str">
        <f t="shared" si="2"/>
        <v/>
      </c>
      <c r="P24" s="44" t="str">
        <f>IF(OR($C24="",NOT(ISNUMBER(F24))),"",AND(F24&gt;='Valeurs Règlements Nature'!$F$17,F24&lt;=L24))</f>
        <v/>
      </c>
      <c r="Q24" s="44" t="str">
        <f>IF(OR($C24="",NOT(ISNUMBER(G24))),"",AND(G24&gt;='Valeurs Règlements Nature'!$F$17,G24&lt;=M24))</f>
        <v/>
      </c>
      <c r="R24" s="191" t="str">
        <f>IF(OR($C24="",NOT(ISNUMBER(H24))),"",AND(H24&gt;='Valeurs Règlements Nature'!$F$17,H24&lt;=N24))</f>
        <v/>
      </c>
      <c r="S24" s="227" t="str">
        <f>IF(OR(NOT(ISNUMBER(E24)),NOT(ISNUMBER(F24))),"",IF(AND(E24&gt;=F24,ABS(E24-F24)&lt;='Valeurs Règlements Nature'!$F$16),"OK","Hors Fourchette"))</f>
        <v/>
      </c>
      <c r="T24" s="227"/>
      <c r="U24" s="227" t="str">
        <f>IF(OR(NOT(ISNUMBER(F24)),NOT(ISNUMBER(G24))),"",IF(AND(F24&gt;=G24,ABS(F24-G24)&lt;='Valeurs Règlements Nature'!$F$16),"OK","Hors Fourchette"))</f>
        <v/>
      </c>
      <c r="V24" s="227"/>
      <c r="W24" s="227" t="str">
        <f>IF(OR(NOT(ISNUMBER(G24)),NOT(ISNUMBER(H24))),"",IF(AND(G24&gt;=H24,ABS(G24-H24)&lt;='Valeurs Règlements Nature'!$F$16),"OK","Hors Fourchette"))</f>
        <v/>
      </c>
      <c r="X24" s="227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1"/>
      <c r="AJ24" s="141"/>
      <c r="AK24" s="141"/>
      <c r="AL24" s="142"/>
      <c r="AM24" s="142"/>
      <c r="AN24" s="142"/>
    </row>
    <row r="25" spans="1:210" ht="20.75" customHeight="1">
      <c r="A25" s="14">
        <v>20</v>
      </c>
      <c r="B25" s="338"/>
      <c r="C25" s="341"/>
      <c r="D25" s="342"/>
      <c r="E25" s="357"/>
      <c r="F25" s="359"/>
      <c r="G25" s="361"/>
      <c r="H25" s="364"/>
      <c r="I25" s="19"/>
      <c r="J25" s="80" t="str">
        <f>IF($C25="","",IFERROR(VLOOKUP($C25,'Valeurs Règlements Nature'!$A$5:$G$8,3,FALSE),""))</f>
        <v/>
      </c>
      <c r="K25" s="81" t="str">
        <f>IF($C25="","",IFERROR(VLOOKUP($C25,'Valeurs Règlements Nature'!$A$5:$G$8,4,FALSE),""))</f>
        <v/>
      </c>
      <c r="L25" s="81" t="str">
        <f>IF($C25="","",IFERROR(VLOOKUP($C25,'Valeurs Règlements Nature'!$A$5:$G$8,5,FALSE),""))</f>
        <v/>
      </c>
      <c r="M25" s="81" t="str">
        <f>IF($C25="","",IFERROR(VLOOKUP($C25,'Valeurs Règlements Nature'!$A$5:$G$8,6,FALSE),""))</f>
        <v/>
      </c>
      <c r="N25" s="160" t="str">
        <f>IF($C25="","",IFERROR(VLOOKUP($C25,'Valeurs Règlements Nature'!$A$5:$G$8,7,FALSE),""))</f>
        <v/>
      </c>
      <c r="O25" s="45" t="str">
        <f t="shared" si="2"/>
        <v/>
      </c>
      <c r="P25" s="44" t="str">
        <f>IF(OR($C25="",NOT(ISNUMBER(F25))),"",AND(F25&gt;='Valeurs Règlements Nature'!$F$17,F25&lt;=L25))</f>
        <v/>
      </c>
      <c r="Q25" s="44" t="str">
        <f>IF(OR($C25="",NOT(ISNUMBER(G25))),"",AND(G25&gt;='Valeurs Règlements Nature'!$F$17,G25&lt;=M25))</f>
        <v/>
      </c>
      <c r="R25" s="191" t="str">
        <f>IF(OR($C25="",NOT(ISNUMBER(H25))),"",AND(H25&gt;='Valeurs Règlements Nature'!$F$17,H25&lt;=N25))</f>
        <v/>
      </c>
      <c r="S25" s="227" t="str">
        <f>IF(OR(NOT(ISNUMBER(E25)),NOT(ISNUMBER(F25))),"",IF(AND(E25&gt;=F25,ABS(E25-F25)&lt;='Valeurs Règlements Nature'!$F$16),"OK","Hors Fourchette"))</f>
        <v/>
      </c>
      <c r="T25" s="227"/>
      <c r="U25" s="227" t="str">
        <f>IF(OR(NOT(ISNUMBER(F25)),NOT(ISNUMBER(G25))),"",IF(AND(F25&gt;=G25,ABS(F25-G25)&lt;='Valeurs Règlements Nature'!$F$16),"OK","Hors Fourchette"))</f>
        <v/>
      </c>
      <c r="V25" s="227"/>
      <c r="W25" s="227" t="str">
        <f>IF(OR(NOT(ISNUMBER(G25)),NOT(ISNUMBER(H25))),"",IF(AND(G25&gt;=H25,ABS(G25-H25)&lt;='Valeurs Règlements Nature'!$F$16),"OK","Hors Fourchette"))</f>
        <v/>
      </c>
      <c r="X25" s="227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1"/>
      <c r="AJ25" s="141"/>
      <c r="AK25" s="141"/>
      <c r="AL25" s="142"/>
      <c r="AM25" s="142"/>
      <c r="AN25" s="142"/>
    </row>
    <row r="26" spans="1:210" ht="20.75" customHeight="1">
      <c r="A26" s="15">
        <v>21</v>
      </c>
      <c r="B26" s="344"/>
      <c r="C26" s="345"/>
      <c r="D26" s="346"/>
      <c r="E26" s="358"/>
      <c r="F26" s="360"/>
      <c r="G26" s="362"/>
      <c r="H26" s="365"/>
      <c r="I26" s="19"/>
      <c r="J26" s="82" t="str">
        <f>IF($C26="","",IFERROR(VLOOKUP($C26,'Valeurs Règlements Nature'!$A$5:$G$8,3,FALSE),""))</f>
        <v/>
      </c>
      <c r="K26" s="83" t="str">
        <f>IF($C26="","",IFERROR(VLOOKUP($C26,'Valeurs Règlements Nature'!$A$5:$G$8,4,FALSE),""))</f>
        <v/>
      </c>
      <c r="L26" s="83" t="str">
        <f>IF($C26="","",IFERROR(VLOOKUP($C26,'Valeurs Règlements Nature'!$A$5:$G$8,5,FALSE),""))</f>
        <v/>
      </c>
      <c r="M26" s="83" t="str">
        <f>IF($C26="","",IFERROR(VLOOKUP($C26,'Valeurs Règlements Nature'!$A$5:$G$8,6,FALSE),""))</f>
        <v/>
      </c>
      <c r="N26" s="161" t="str">
        <f>IF($C26="","",IFERROR(VLOOKUP($C26,'Valeurs Règlements Nature'!$A$5:$G$8,7,FALSE),""))</f>
        <v/>
      </c>
      <c r="O26" s="47" t="str">
        <f t="shared" si="2"/>
        <v/>
      </c>
      <c r="P26" s="48" t="str">
        <f>IF(OR($C26="",NOT(ISNUMBER(F26))),"",AND(F26&gt;='Valeurs Règlements Nature'!$F$17,F26&lt;=L26))</f>
        <v/>
      </c>
      <c r="Q26" s="48" t="str">
        <f>IF(OR($C26="",NOT(ISNUMBER(G26))),"",AND(G26&gt;='Valeurs Règlements Nature'!$F$17,G26&lt;=M26))</f>
        <v/>
      </c>
      <c r="R26" s="192" t="str">
        <f>IF(OR($C26="",NOT(ISNUMBER(H26))),"",AND(H26&gt;='Valeurs Règlements Nature'!$F$17,H26&lt;=N26))</f>
        <v/>
      </c>
      <c r="S26" s="237" t="str">
        <f>IF(OR(NOT(ISNUMBER(E26)),NOT(ISNUMBER(F26))),"",IF(AND(E26&gt;=F26,ABS(E26-F26)&lt;='Valeurs Règlements Nature'!$F$16),"OK","Hors Fourchette"))</f>
        <v/>
      </c>
      <c r="T26" s="237"/>
      <c r="U26" s="237" t="str">
        <f>IF(OR(NOT(ISNUMBER(F26)),NOT(ISNUMBER(G26))),"",IF(AND(F26&gt;=G26,ABS(F26-G26)&lt;='Valeurs Règlements Nature'!$F$16),"OK","Hors Fourchette"))</f>
        <v/>
      </c>
      <c r="V26" s="237"/>
      <c r="W26" s="237" t="str">
        <f>IF(OR(NOT(ISNUMBER(G26)),NOT(ISNUMBER(H26))),"",IF(AND(G26&gt;=H26,ABS(G26-H26)&lt;='Valeurs Règlements Nature'!$F$16),"OK","Hors Fourchette"))</f>
        <v/>
      </c>
      <c r="X26" s="237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1"/>
      <c r="AJ26" s="141"/>
      <c r="AK26" s="141"/>
      <c r="AL26" s="142"/>
      <c r="AM26" s="142"/>
      <c r="AN26" s="142"/>
    </row>
    <row r="27" spans="1:210" ht="19.75" customHeight="1">
      <c r="A27" s="21"/>
      <c r="B27" s="22"/>
      <c r="C27" s="21"/>
      <c r="E27" s="16"/>
      <c r="F27" s="16"/>
      <c r="G27" s="16"/>
      <c r="H27" s="16"/>
      <c r="I27" s="20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</row>
    <row r="28" spans="1:210" ht="27" customHeight="1" thickBot="1">
      <c r="A28" s="21"/>
      <c r="B28" s="26" t="s">
        <v>14</v>
      </c>
      <c r="C28" s="27" t="s">
        <v>15</v>
      </c>
      <c r="D28" s="36" t="s">
        <v>16</v>
      </c>
      <c r="E28" s="37" t="s">
        <v>17</v>
      </c>
      <c r="F28" s="38" t="s">
        <v>17</v>
      </c>
      <c r="G28" s="39" t="s">
        <v>17</v>
      </c>
      <c r="H28" s="187" t="s">
        <v>17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</row>
    <row r="29" spans="1:210" ht="27.25" customHeight="1">
      <c r="A29" s="23" t="str">
        <f>'Valeurs Règlements Nature'!A5</f>
        <v>Petit Animal</v>
      </c>
      <c r="B29" s="30">
        <f>'Valeurs Règlements Nature'!B5</f>
        <v>4</v>
      </c>
      <c r="C29" s="33">
        <f>COUNTIF($C6:$C26,A29)</f>
        <v>0</v>
      </c>
      <c r="D29" s="369" t="str">
        <f>IF(C29=B29,"ok","incorrect")</f>
        <v>incorrect</v>
      </c>
      <c r="E29" s="367" t="str">
        <f t="shared" ref="E29:H32" si="3">IFERROR(AVERAGEIF($C$6:$C$26,$A29,E$6:E$26),"")</f>
        <v/>
      </c>
      <c r="F29" s="68" t="str">
        <f t="shared" si="3"/>
        <v/>
      </c>
      <c r="G29" s="69" t="str">
        <f t="shared" si="3"/>
        <v/>
      </c>
      <c r="H29" s="185" t="str">
        <f t="shared" si="3"/>
        <v/>
      </c>
      <c r="J29" s="12"/>
      <c r="K29" s="12"/>
      <c r="L29" s="12"/>
      <c r="M29" s="228" t="s">
        <v>18</v>
      </c>
      <c r="N29" s="229"/>
      <c r="O29" s="229"/>
      <c r="P29" s="229"/>
      <c r="Q29" s="229"/>
      <c r="R29" s="229"/>
      <c r="S29" s="229"/>
      <c r="T29" s="229"/>
      <c r="U29" s="229"/>
      <c r="V29" s="230"/>
      <c r="W29" s="137"/>
      <c r="X29" s="137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</row>
    <row r="30" spans="1:210" ht="20.75" customHeight="1">
      <c r="A30" s="24" t="str">
        <f>'Valeurs Règlements Nature'!A6</f>
        <v>Petit Gibier</v>
      </c>
      <c r="B30" s="31">
        <f>'Valeurs Règlements Nature'!B6</f>
        <v>6</v>
      </c>
      <c r="C30" s="34">
        <f>COUNTIF($C6:$C26,A30)</f>
        <v>0</v>
      </c>
      <c r="D30" s="370" t="str">
        <f>IF(C30=B30,"ok","incorrect")</f>
        <v>incorrect</v>
      </c>
      <c r="E30" s="367" t="str">
        <f t="shared" si="3"/>
        <v/>
      </c>
      <c r="F30" s="68" t="str">
        <f t="shared" si="3"/>
        <v/>
      </c>
      <c r="G30" s="69" t="str">
        <f t="shared" si="3"/>
        <v/>
      </c>
      <c r="H30" s="185" t="str">
        <f t="shared" si="3"/>
        <v/>
      </c>
      <c r="J30" s="12"/>
      <c r="K30" s="12"/>
      <c r="L30" s="12"/>
      <c r="M30" s="231"/>
      <c r="N30" s="232"/>
      <c r="O30" s="232"/>
      <c r="P30" s="232"/>
      <c r="Q30" s="232"/>
      <c r="R30" s="232"/>
      <c r="S30" s="232"/>
      <c r="T30" s="232"/>
      <c r="U30" s="232"/>
      <c r="V30" s="233"/>
      <c r="W30" s="137"/>
      <c r="X30" s="137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</row>
    <row r="31" spans="1:210" ht="20.75" customHeight="1" thickBot="1">
      <c r="A31" s="24" t="str">
        <f>'Valeurs Règlements Nature'!A7</f>
        <v>Moyen Gibier</v>
      </c>
      <c r="B31" s="31">
        <f>'Valeurs Règlements Nature'!B7</f>
        <v>7</v>
      </c>
      <c r="C31" s="34">
        <f>COUNTIF($C6:$C26,A31)</f>
        <v>0</v>
      </c>
      <c r="D31" s="370" t="str">
        <f>IF(C31=B31,"ok","incorrect")</f>
        <v>incorrect</v>
      </c>
      <c r="E31" s="367" t="str">
        <f t="shared" si="3"/>
        <v/>
      </c>
      <c r="F31" s="68" t="str">
        <f t="shared" si="3"/>
        <v/>
      </c>
      <c r="G31" s="69" t="str">
        <f t="shared" si="3"/>
        <v/>
      </c>
      <c r="H31" s="185" t="str">
        <f t="shared" si="3"/>
        <v/>
      </c>
      <c r="J31" s="12"/>
      <c r="K31" s="12"/>
      <c r="L31" s="12"/>
      <c r="M31" s="234"/>
      <c r="N31" s="235"/>
      <c r="O31" s="235"/>
      <c r="P31" s="235"/>
      <c r="Q31" s="235"/>
      <c r="R31" s="235"/>
      <c r="S31" s="235"/>
      <c r="T31" s="235"/>
      <c r="U31" s="235"/>
      <c r="V31" s="236"/>
      <c r="W31" s="137"/>
      <c r="X31" s="137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</row>
    <row r="32" spans="1:210" ht="20.75" customHeight="1" thickBot="1">
      <c r="A32" s="25" t="str">
        <f>'Valeurs Règlements Nature'!A8</f>
        <v>Grand Gibier</v>
      </c>
      <c r="B32" s="32">
        <f>'Valeurs Règlements Nature'!B8</f>
        <v>4</v>
      </c>
      <c r="C32" s="35">
        <f>COUNTIF($C6:$C26,A32)</f>
        <v>0</v>
      </c>
      <c r="D32" s="371" t="str">
        <f>IF(C32=B32,"ok","incorrect")</f>
        <v>incorrect</v>
      </c>
      <c r="E32" s="368" t="str">
        <f t="shared" si="3"/>
        <v/>
      </c>
      <c r="F32" s="71" t="str">
        <f t="shared" si="3"/>
        <v/>
      </c>
      <c r="G32" s="72" t="str">
        <f t="shared" si="3"/>
        <v/>
      </c>
      <c r="H32" s="186" t="str">
        <f t="shared" si="3"/>
        <v/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</row>
    <row r="33" spans="1:210" ht="20.75" customHeight="1" thickBot="1">
      <c r="A33" s="29"/>
      <c r="B33" s="28">
        <f>SUM(B29:B32)</f>
        <v>21</v>
      </c>
      <c r="C33" s="12"/>
      <c r="E33" s="37" t="s">
        <v>19</v>
      </c>
      <c r="F33" s="38" t="s">
        <v>19</v>
      </c>
      <c r="G33" s="39" t="s">
        <v>19</v>
      </c>
      <c r="H33" s="187" t="s">
        <v>19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</row>
    <row r="34" spans="1:210" ht="20" customHeight="1" thickBot="1">
      <c r="C34"/>
      <c r="E34" s="73">
        <f>SUM(E6:E26)</f>
        <v>0</v>
      </c>
      <c r="F34" s="74">
        <f t="shared" ref="F34:G34" si="4">SUM(F6:F26)</f>
        <v>0</v>
      </c>
      <c r="G34" s="75">
        <f t="shared" si="4"/>
        <v>0</v>
      </c>
      <c r="H34" s="188">
        <f t="shared" ref="H34" si="5">SUM(H6:H26)</f>
        <v>0</v>
      </c>
    </row>
    <row r="35" spans="1:210" ht="20" customHeight="1" thickBot="1">
      <c r="B35" s="13" t="s">
        <v>20</v>
      </c>
      <c r="C35" s="65">
        <f>'Valeurs Règlements Nature'!C10</f>
        <v>525</v>
      </c>
      <c r="D35" s="66">
        <f>'Valeurs Règlements Nature'!D10</f>
        <v>550</v>
      </c>
      <c r="E35" s="366" t="str">
        <f>IF(COUNT(E6:E26)=0,"",IF(AND(COUNT(E6:E26)=21,E34&gt;=C35,E34&lt;=D35),"ok",IF(COUNT(E6:E26)&lt;21,"incorrect","hors fourchette")))</f>
        <v/>
      </c>
    </row>
  </sheetData>
  <sheetProtection sheet="1" objects="1" scenarios="1"/>
  <mergeCells count="108">
    <mergeCell ref="W11:X11"/>
    <mergeCell ref="W12:X12"/>
    <mergeCell ref="J2:N2"/>
    <mergeCell ref="O2:R3"/>
    <mergeCell ref="W5:X5"/>
    <mergeCell ref="W23:X23"/>
    <mergeCell ref="W24:X24"/>
    <mergeCell ref="W25:X25"/>
    <mergeCell ref="W26:X26"/>
    <mergeCell ref="E2:H3"/>
    <mergeCell ref="S2:X3"/>
    <mergeCell ref="W18:X18"/>
    <mergeCell ref="W19:X19"/>
    <mergeCell ref="W20:X20"/>
    <mergeCell ref="W21:X21"/>
    <mergeCell ref="W22:X22"/>
    <mergeCell ref="W13:X13"/>
    <mergeCell ref="W14:X14"/>
    <mergeCell ref="W15:X15"/>
    <mergeCell ref="W16:X16"/>
    <mergeCell ref="W17:X17"/>
    <mergeCell ref="AI2:AK2"/>
    <mergeCell ref="AL2:AN3"/>
    <mergeCell ref="Y3:Z3"/>
    <mergeCell ref="AA3:AB3"/>
    <mergeCell ref="AC3:AD3"/>
    <mergeCell ref="AI3:AI4"/>
    <mergeCell ref="AJ3:AJ4"/>
    <mergeCell ref="AK3:AK4"/>
    <mergeCell ref="AE2:AF3"/>
    <mergeCell ref="AG2:AH3"/>
    <mergeCell ref="C6:D6"/>
    <mergeCell ref="S6:T6"/>
    <mergeCell ref="U6:V6"/>
    <mergeCell ref="C5:D5"/>
    <mergeCell ref="S5:T5"/>
    <mergeCell ref="U5:V5"/>
    <mergeCell ref="A1:U1"/>
    <mergeCell ref="A2:A4"/>
    <mergeCell ref="B2:B4"/>
    <mergeCell ref="C2:D4"/>
    <mergeCell ref="Y2:AD2"/>
    <mergeCell ref="C10:D10"/>
    <mergeCell ref="S10:T10"/>
    <mergeCell ref="U10:V10"/>
    <mergeCell ref="W6:X6"/>
    <mergeCell ref="W7:X7"/>
    <mergeCell ref="C7:D7"/>
    <mergeCell ref="S7:T7"/>
    <mergeCell ref="U7:V7"/>
    <mergeCell ref="W8:X8"/>
    <mergeCell ref="W9:X9"/>
    <mergeCell ref="W10:X10"/>
    <mergeCell ref="C8:D8"/>
    <mergeCell ref="S8:T8"/>
    <mergeCell ref="U8:V8"/>
    <mergeCell ref="C9:D9"/>
    <mergeCell ref="S9:T9"/>
    <mergeCell ref="U9:V9"/>
    <mergeCell ref="C16:D16"/>
    <mergeCell ref="S16:T16"/>
    <mergeCell ref="U16:V16"/>
    <mergeCell ref="C11:D11"/>
    <mergeCell ref="S11:T11"/>
    <mergeCell ref="U11:V11"/>
    <mergeCell ref="C12:D12"/>
    <mergeCell ref="S12:T12"/>
    <mergeCell ref="U12:V12"/>
    <mergeCell ref="C13:D13"/>
    <mergeCell ref="S13:T13"/>
    <mergeCell ref="U13:V13"/>
    <mergeCell ref="C14:D14"/>
    <mergeCell ref="S14:T14"/>
    <mergeCell ref="U14:V14"/>
    <mergeCell ref="C15:D15"/>
    <mergeCell ref="S15:T15"/>
    <mergeCell ref="U15:V15"/>
    <mergeCell ref="C24:D24"/>
    <mergeCell ref="S24:T24"/>
    <mergeCell ref="U24:V24"/>
    <mergeCell ref="C17:D17"/>
    <mergeCell ref="S17:T17"/>
    <mergeCell ref="U17:V17"/>
    <mergeCell ref="C18:D18"/>
    <mergeCell ref="S18:T18"/>
    <mergeCell ref="U18:V18"/>
    <mergeCell ref="C19:D19"/>
    <mergeCell ref="S19:T19"/>
    <mergeCell ref="U19:V19"/>
    <mergeCell ref="C22:D22"/>
    <mergeCell ref="S22:T22"/>
    <mergeCell ref="U22:V22"/>
    <mergeCell ref="C23:D23"/>
    <mergeCell ref="S23:T23"/>
    <mergeCell ref="U23:V23"/>
    <mergeCell ref="M29:V31"/>
    <mergeCell ref="C25:D25"/>
    <mergeCell ref="S25:T25"/>
    <mergeCell ref="U25:V25"/>
    <mergeCell ref="C26:D26"/>
    <mergeCell ref="S26:T26"/>
    <mergeCell ref="U26:V26"/>
    <mergeCell ref="C20:D20"/>
    <mergeCell ref="S20:T20"/>
    <mergeCell ref="U20:V20"/>
    <mergeCell ref="C21:D21"/>
    <mergeCell ref="S21:T21"/>
    <mergeCell ref="U21:V21"/>
  </mergeCells>
  <conditionalFormatting sqref="O5:R26">
    <cfRule type="containsText" dxfId="30" priority="21" operator="containsText" text="VRAI">
      <formula>NOT(ISERROR(SEARCH("VRAI",O5)))</formula>
    </cfRule>
    <cfRule type="containsText" dxfId="29" priority="22" stopIfTrue="1" operator="containsText" text="FAUX">
      <formula>NOT(ISERROR(FIND(UPPER("FAUX"),UPPER(O5))))</formula>
      <formula>"FAUX"</formula>
    </cfRule>
  </conditionalFormatting>
  <conditionalFormatting sqref="S5:X26">
    <cfRule type="containsText" dxfId="28" priority="7" operator="containsText" text="Faux">
      <formula>NOT(ISERROR(SEARCH("Faux",S5)))</formula>
    </cfRule>
    <cfRule type="containsText" dxfId="27" priority="8" operator="containsText" text="OK">
      <formula>NOT(ISERROR(SEARCH("OK",S5)))</formula>
    </cfRule>
    <cfRule type="containsText" dxfId="26" priority="9" operator="containsText" text="OK">
      <formula>NOT(ISERROR(SEARCH("OK",S5)))</formula>
    </cfRule>
  </conditionalFormatting>
  <conditionalFormatting sqref="D29:D32">
    <cfRule type="expression" dxfId="18" priority="3">
      <formula>D29="ok"</formula>
    </cfRule>
    <cfRule type="expression" dxfId="17" priority="4">
      <formula>D29="incorrect"</formula>
    </cfRule>
  </conditionalFormatting>
  <conditionalFormatting sqref="E35">
    <cfRule type="expression" dxfId="16" priority="1">
      <formula>E35="ok"</formula>
    </cfRule>
    <cfRule type="expression" dxfId="15" priority="2">
      <formula>E35="incorrect"</formula>
    </cfRule>
  </conditionalFormatting>
  <dataValidations count="2">
    <dataValidation type="list" showInputMessage="1" showErrorMessage="1" sqref="I7:I26" xr:uid="{00000000-0002-0000-0000-000000000000}">
      <formula1>$A$5:$A$8</formula1>
    </dataValidation>
    <dataValidation type="list" allowBlank="1" showErrorMessage="1" sqref="I6" xr:uid="{00000000-0002-0000-0000-000001000000}">
      <formula1>$A$5:$A$8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E1B9568-13A2-A84E-BF57-9B91A1895D97}">
          <x14:formula1>
            <xm:f>'Valeurs Règlements Nature'!$A$5:$A$8</xm:f>
          </x14:formula1>
          <xm:sqref>C6:D26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C3" sqref="C3"/>
    </sheetView>
  </sheetViews>
  <sheetFormatPr baseColWidth="10" defaultColWidth="8.83203125" defaultRowHeight="13"/>
  <cols>
    <col min="1" max="1" width="28" customWidth="1"/>
    <col min="2" max="3" width="22" customWidth="1"/>
    <col min="4" max="4" width="18" customWidth="1"/>
    <col min="5" max="5" width="12" customWidth="1"/>
    <col min="6" max="6" width="22" customWidth="1"/>
    <col min="7" max="7" width="16" customWidth="1"/>
    <col min="8" max="8" width="52" customWidth="1"/>
  </cols>
  <sheetData>
    <row r="1" spans="1:8" ht="40" customHeight="1">
      <c r="A1" s="316" t="s">
        <v>74</v>
      </c>
      <c r="B1" s="316"/>
      <c r="C1" s="316"/>
      <c r="D1" s="316"/>
      <c r="E1" s="316"/>
      <c r="F1" s="316"/>
      <c r="G1" s="316"/>
      <c r="H1" s="316"/>
    </row>
    <row r="3" spans="1:8" ht="28">
      <c r="A3" t="s">
        <v>75</v>
      </c>
      <c r="C3" t="str">
        <f>Organisateur!A1</f>
        <v xml:space="preserve">Lieu - date - numéro projet : </v>
      </c>
    </row>
    <row r="5" spans="1:8" ht="42.75" customHeight="1">
      <c r="A5" s="208" t="s">
        <v>76</v>
      </c>
      <c r="B5" s="209" t="s">
        <v>77</v>
      </c>
      <c r="C5" s="209" t="s">
        <v>78</v>
      </c>
      <c r="D5" s="209" t="s">
        <v>79</v>
      </c>
      <c r="E5" s="209" t="s">
        <v>80</v>
      </c>
      <c r="F5" s="209" t="s">
        <v>81</v>
      </c>
      <c r="G5" s="209" t="s">
        <v>82</v>
      </c>
      <c r="H5" s="210" t="s">
        <v>83</v>
      </c>
    </row>
    <row r="6" spans="1:8" ht="14">
      <c r="A6" s="217" t="s">
        <v>84</v>
      </c>
      <c r="B6" s="220">
        <f>COUNTIF(Organisateur!C6:C26,"&lt;&gt;")</f>
        <v>0</v>
      </c>
      <c r="C6" s="220" t="s">
        <v>85</v>
      </c>
      <c r="D6" s="220" t="str">
        <f>IF(B6=Organisateur!B33,"CONFORME",IF(B6=0,"À RENSEIGNER","À COMPLÉTER"))</f>
        <v>À RENSEIGNER</v>
      </c>
      <c r="E6" s="220">
        <f>Organisateur!B33-B6</f>
        <v>21</v>
      </c>
      <c r="F6" s="211" t="s">
        <v>86</v>
      </c>
      <c r="G6" s="211" t="s">
        <v>87</v>
      </c>
      <c r="H6" s="212" t="s">
        <v>88</v>
      </c>
    </row>
    <row r="7" spans="1:8" ht="14">
      <c r="A7" s="218" t="s">
        <v>89</v>
      </c>
      <c r="B7" s="221" t="str">
        <f>Organisateur!C29&amp;" / "&amp;Organisateur!C30&amp;" / "&amp;Organisateur!C31&amp;" / "&amp;Organisateur!C32</f>
        <v>0 / 0 / 0 / 0</v>
      </c>
      <c r="C7" s="221" t="s">
        <v>90</v>
      </c>
      <c r="D7" s="221" t="str">
        <f>IF(B6=0,"À RENSEIGNER",IF(COUNTIF(Organisateur!D29:D32,"ok")=4,"CONFORME","NON CONFORME"))</f>
        <v>À RENSEIGNER</v>
      </c>
      <c r="E7" s="221">
        <f>SUM(ABS(Organisateur!C29-Organisateur!B29),ABS(Organisateur!C30-Organisateur!B30),ABS(Organisateur!C31-Organisateur!B31),ABS(Organisateur!C32-Organisateur!B32))</f>
        <v>21</v>
      </c>
      <c r="F7" s="213" t="s">
        <v>91</v>
      </c>
      <c r="G7" s="213" t="s">
        <v>87</v>
      </c>
      <c r="H7" s="214" t="s">
        <v>92</v>
      </c>
    </row>
    <row r="8" spans="1:8" ht="28">
      <c r="A8" s="218" t="s">
        <v>93</v>
      </c>
      <c r="B8" s="221" t="str">
        <f>COUNT(Organisateur!E6:G26)&amp;"/"&amp;3*Organisateur!B33&amp;" obligatoires ; Rose "&amp;COUNT(Organisateur!H6:H26)&amp;"/"&amp;Organisateur!B33</f>
        <v>0/63 obligatoires ; Rose 0/21</v>
      </c>
      <c r="C8" s="221" t="s">
        <v>94</v>
      </c>
      <c r="D8" s="221" t="str">
        <f>IF(B6=0,"À RENSEIGNER",IF(E8&gt;0,"NON CONFORME",IF(OR(COUNT(Organisateur!E6:G26)&lt;3*Organisateur!B33,AND(COUNT(Organisateur!H6:H26)&gt;0,COUNT(Organisateur!H6:H26)&lt;Organisateur!B33)),"À COMPLÉTER","CONFORME")))</f>
        <v>À RENSEIGNER</v>
      </c>
      <c r="E8" s="221">
        <f>COUNTIF(Organisateur!O6:R26,FALSE)</f>
        <v>0</v>
      </c>
      <c r="F8" s="213" t="s">
        <v>95</v>
      </c>
      <c r="G8" s="213" t="s">
        <v>96</v>
      </c>
      <c r="H8" s="214" t="s">
        <v>97</v>
      </c>
    </row>
    <row r="9" spans="1:8" ht="28">
      <c r="A9" s="218" t="s">
        <v>98</v>
      </c>
      <c r="B9" s="221" t="str">
        <f>COUNTIF(Organisateur!S6:W26,"OK")&amp;" contrôles conformes"</f>
        <v>0 contrôles conformes</v>
      </c>
      <c r="C9" s="221" t="s">
        <v>99</v>
      </c>
      <c r="D9" s="221" t="str">
        <f>IF(B6=0,"À RENSEIGNER",IF(E9=0,"CONFORME","NON CONFORME"))</f>
        <v>À RENSEIGNER</v>
      </c>
      <c r="E9" s="221">
        <f>COUNTIF(Organisateur!S6:W26,"Hors Fourchette")+COUNTIF(Organisateur!S6:W26,"Faux")</f>
        <v>0</v>
      </c>
      <c r="F9" s="213" t="s">
        <v>100</v>
      </c>
      <c r="G9" s="213" t="s">
        <v>96</v>
      </c>
      <c r="H9" s="214" t="s">
        <v>101</v>
      </c>
    </row>
    <row r="10" spans="1:8" ht="14">
      <c r="A10" s="218" t="s">
        <v>102</v>
      </c>
      <c r="B10" s="221" t="str">
        <f>IF(COUNT(Organisateur!E6:E26)=0,"Non renseigné",Organisateur!E34&amp;" m")</f>
        <v>Non renseigné</v>
      </c>
      <c r="C10" s="221" t="s">
        <v>103</v>
      </c>
      <c r="D10" s="221" t="str">
        <f>IF(COUNT(Organisateur!E6:E26)=0,"À RENSEIGNER",IF(COUNT(Organisateur!E6:E26)&lt;Organisateur!B33,"À COMPLÉTER",IF(AND(Organisateur!E34&gt;=Organisateur!C35,Organisateur!E34&lt;=Organisateur!D35),"CONFORME","NON CONFORME")))</f>
        <v>À RENSEIGNER</v>
      </c>
      <c r="E10" s="221">
        <f>IF(D10="NON CONFORME",1,0)</f>
        <v>0</v>
      </c>
      <c r="F10" s="213" t="s">
        <v>95</v>
      </c>
      <c r="G10" s="213" t="s">
        <v>87</v>
      </c>
      <c r="H10" s="214" t="s">
        <v>104</v>
      </c>
    </row>
    <row r="11" spans="1:8" ht="28">
      <c r="A11" s="219" t="s">
        <v>105</v>
      </c>
      <c r="B11" s="222" t="str">
        <f>COUNTIF(Arbitre!AO6:AO26,"CONFORME")&amp;" conformes / "&amp;COUNTIF(Arbitre!AO6:AO26,"NON CONFORME")&amp;" anomalies"</f>
        <v>0 conformes / 0 anomalies</v>
      </c>
      <c r="C11" s="222" t="s">
        <v>106</v>
      </c>
      <c r="D11" s="222" t="str">
        <f>IF(COUNTIF(Arbitre!AO6:AO26,"CONFORME")+COUNTIF(Arbitre!AO6:AO26,"NON CONFORME")=0,"OPTIONNEL",IF(COUNTIF(Arbitre!AO6:AO26,"NON CONFORME")=0,"CONFORME","NON CONFORME"))</f>
        <v>OPTIONNEL</v>
      </c>
      <c r="E11" s="222">
        <f>COUNTIF(Arbitre!AO6:AO26,"NON CONFORME")</f>
        <v>0</v>
      </c>
      <c r="F11" s="215" t="s">
        <v>107</v>
      </c>
      <c r="G11" s="215" t="s">
        <v>108</v>
      </c>
      <c r="H11" s="216" t="s">
        <v>109</v>
      </c>
    </row>
    <row r="13" spans="1:8" ht="37.25" customHeight="1">
      <c r="A13" s="317" t="s">
        <v>110</v>
      </c>
      <c r="B13" s="317"/>
      <c r="C13" s="317"/>
      <c r="D13" s="337" t="str">
        <f>IF(B6=0,"À RENSEIGNER",IF(COUNTIF(D6:D11,"NON CONFORME")&gt;0,"NON CONFORME",IF(COUNTIF(D6:D10,"À*")&gt;0,"À COMPLÉTER","CONFORME")))</f>
        <v>À RENSEIGNER</v>
      </c>
    </row>
    <row r="16" spans="1:8" ht="40" customHeight="1">
      <c r="A16" s="318" t="s">
        <v>111</v>
      </c>
      <c r="B16" s="318"/>
      <c r="C16" s="318"/>
      <c r="D16" s="318"/>
      <c r="E16" s="318"/>
      <c r="F16" s="318"/>
      <c r="G16" s="318"/>
      <c r="H16" s="318"/>
    </row>
    <row r="17" spans="1:8" ht="40" customHeight="1">
      <c r="A17" s="318" t="s">
        <v>112</v>
      </c>
      <c r="B17" s="318"/>
      <c r="C17" s="318"/>
      <c r="D17" s="318"/>
      <c r="E17" s="318"/>
      <c r="F17" s="318"/>
      <c r="G17" s="318"/>
      <c r="H17" s="318"/>
    </row>
    <row r="18" spans="1:8" ht="40" customHeight="1">
      <c r="A18" s="318" t="s">
        <v>113</v>
      </c>
      <c r="B18" s="318"/>
      <c r="C18" s="318"/>
      <c r="D18" s="318"/>
      <c r="E18" s="318"/>
      <c r="F18" s="318"/>
      <c r="G18" s="318"/>
      <c r="H18" s="318"/>
    </row>
  </sheetData>
  <sheetProtection sheet="1" objects="1" scenarios="1"/>
  <mergeCells count="5">
    <mergeCell ref="A1:H1"/>
    <mergeCell ref="A13:C13"/>
    <mergeCell ref="A16:H16"/>
    <mergeCell ref="A17:H17"/>
    <mergeCell ref="A18:H18"/>
  </mergeCells>
  <conditionalFormatting sqref="D6:D11">
    <cfRule type="expression" dxfId="25" priority="1">
      <formula>D6="CONFORME"</formula>
    </cfRule>
    <cfRule type="expression" dxfId="24" priority="2">
      <formula>D6="NON CONFORME"</formula>
    </cfRule>
    <cfRule type="expression" dxfId="23" priority="3">
      <formula>LEFT(D6,1)="À"</formula>
    </cfRule>
    <cfRule type="expression" dxfId="22" priority="4">
      <formula>D6="OPTIONNEL"</formula>
    </cfRule>
  </conditionalFormatting>
  <conditionalFormatting sqref="D13">
    <cfRule type="expression" dxfId="21" priority="5">
      <formula>D13="CONFORME"</formula>
    </cfRule>
    <cfRule type="expression" dxfId="20" priority="6">
      <formula>D13="NON CONFORME"</formula>
    </cfRule>
    <cfRule type="expression" dxfId="19" priority="7">
      <formula>LEFT(D13,1)="À"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HC35"/>
  <sheetViews>
    <sheetView showGridLines="0" workbookViewId="0">
      <selection activeCell="G18" sqref="G18"/>
    </sheetView>
  </sheetViews>
  <sheetFormatPr baseColWidth="10" defaultColWidth="16.33203125" defaultRowHeight="13"/>
  <cols>
    <col min="1" max="1" width="11.5" style="1" customWidth="1"/>
    <col min="2" max="2" width="35.33203125" style="1" customWidth="1"/>
    <col min="3" max="3" width="8" style="1" customWidth="1"/>
    <col min="4" max="4" width="7.33203125" customWidth="1"/>
    <col min="5" max="8" width="7.6640625" style="1" customWidth="1"/>
    <col min="9" max="9" width="2" style="1" customWidth="1"/>
    <col min="10" max="11" width="5.5" style="1" customWidth="1"/>
    <col min="12" max="12" width="5" style="1" customWidth="1"/>
    <col min="13" max="14" width="5.1640625" style="1" customWidth="1"/>
    <col min="15" max="15" width="5.5" style="1" customWidth="1"/>
    <col min="16" max="16" width="4.1640625" style="1" customWidth="1"/>
    <col min="17" max="18" width="5" style="1" customWidth="1"/>
    <col min="19" max="19" width="5.5" style="1" customWidth="1"/>
    <col min="20" max="20" width="4.1640625" style="1" customWidth="1"/>
    <col min="21" max="21" width="4.83203125" style="12" customWidth="1"/>
    <col min="22" max="22" width="5" style="12" customWidth="1"/>
    <col min="23" max="23" width="4.83203125" style="12" customWidth="1"/>
    <col min="24" max="24" width="5" style="12" customWidth="1"/>
    <col min="25" max="25" width="8.5" style="12" hidden="1" customWidth="1"/>
    <col min="26" max="35" width="7.83203125" style="12" hidden="1" customWidth="1"/>
    <col min="36" max="38" width="10.33203125" style="12" hidden="1" customWidth="1"/>
    <col min="39" max="39" width="6.83203125" style="12" hidden="1" customWidth="1"/>
    <col min="40" max="41" width="5.83203125" style="12" hidden="1" customWidth="1"/>
    <col min="42" max="49" width="5.83203125" style="12" customWidth="1"/>
    <col min="50" max="211" width="16.33203125" style="12"/>
    <col min="212" max="16384" width="16.33203125" style="1"/>
  </cols>
  <sheetData>
    <row r="1" spans="1:42" ht="27.75" customHeight="1">
      <c r="A1" s="238" t="str">
        <f>Organisateur!A1</f>
        <v xml:space="preserve">Lieu - date - numéro projet : 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12"/>
      <c r="W1" s="137"/>
      <c r="Y1" s="275" t="s">
        <v>21</v>
      </c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7"/>
      <c r="AP1" s="152" t="s">
        <v>67</v>
      </c>
    </row>
    <row r="2" spans="1:42" ht="27.75" customHeight="1">
      <c r="A2" s="239" t="s">
        <v>1</v>
      </c>
      <c r="B2" s="325" t="s">
        <v>117</v>
      </c>
      <c r="C2" s="325" t="s">
        <v>118</v>
      </c>
      <c r="D2" s="328"/>
      <c r="E2" s="331" t="s">
        <v>119</v>
      </c>
      <c r="F2" s="332"/>
      <c r="G2" s="332"/>
      <c r="H2" s="333"/>
      <c r="I2" s="17"/>
      <c r="J2" s="319" t="s">
        <v>115</v>
      </c>
      <c r="K2" s="320"/>
      <c r="L2" s="320"/>
      <c r="M2" s="320"/>
      <c r="N2" s="321"/>
      <c r="O2" s="319" t="s">
        <v>116</v>
      </c>
      <c r="P2" s="320"/>
      <c r="Q2" s="320"/>
      <c r="R2" s="321"/>
      <c r="S2" s="319" t="s">
        <v>114</v>
      </c>
      <c r="T2" s="320"/>
      <c r="U2" s="320"/>
      <c r="V2" s="320"/>
      <c r="W2" s="320"/>
      <c r="X2" s="321"/>
      <c r="Y2" s="60" t="s">
        <v>22</v>
      </c>
      <c r="Z2" s="278" t="s">
        <v>23</v>
      </c>
      <c r="AA2" s="279"/>
      <c r="AB2" s="279"/>
      <c r="AC2" s="279"/>
      <c r="AD2" s="279"/>
      <c r="AE2" s="280"/>
      <c r="AF2" s="289" t="s">
        <v>24</v>
      </c>
      <c r="AG2" s="290"/>
      <c r="AH2" s="290" t="s">
        <v>25</v>
      </c>
      <c r="AI2" s="293"/>
      <c r="AJ2" s="296" t="s">
        <v>26</v>
      </c>
      <c r="AK2" s="297"/>
      <c r="AL2" s="298"/>
      <c r="AM2" s="281" t="s">
        <v>68</v>
      </c>
      <c r="AN2" s="282" t="s">
        <v>69</v>
      </c>
      <c r="AO2" s="283" t="s">
        <v>70</v>
      </c>
      <c r="AP2" s="223"/>
    </row>
    <row r="3" spans="1:42" ht="32.75" customHeight="1">
      <c r="A3" s="240"/>
      <c r="B3" s="326"/>
      <c r="C3" s="326"/>
      <c r="D3" s="329"/>
      <c r="E3" s="334"/>
      <c r="F3" s="335"/>
      <c r="G3" s="335"/>
      <c r="H3" s="336"/>
      <c r="I3" s="17"/>
      <c r="J3" s="162" t="s">
        <v>5</v>
      </c>
      <c r="K3" s="163" t="s">
        <v>5</v>
      </c>
      <c r="L3" s="164" t="s">
        <v>6</v>
      </c>
      <c r="M3" s="165" t="s">
        <v>7</v>
      </c>
      <c r="N3" s="166" t="s">
        <v>8</v>
      </c>
      <c r="O3" s="322"/>
      <c r="P3" s="323"/>
      <c r="Q3" s="323"/>
      <c r="R3" s="324"/>
      <c r="S3" s="322"/>
      <c r="T3" s="323"/>
      <c r="U3" s="323"/>
      <c r="V3" s="323"/>
      <c r="W3" s="323"/>
      <c r="X3" s="324"/>
      <c r="Y3" s="207">
        <v>0.2</v>
      </c>
      <c r="Z3" s="287" t="s">
        <v>27</v>
      </c>
      <c r="AA3" s="288"/>
      <c r="AB3" s="288" t="s">
        <v>28</v>
      </c>
      <c r="AC3" s="288"/>
      <c r="AD3" s="288" t="s">
        <v>29</v>
      </c>
      <c r="AE3" s="295"/>
      <c r="AF3" s="291"/>
      <c r="AG3" s="292"/>
      <c r="AH3" s="292"/>
      <c r="AI3" s="294"/>
      <c r="AJ3" s="299" t="s">
        <v>30</v>
      </c>
      <c r="AK3" s="300" t="s">
        <v>31</v>
      </c>
      <c r="AL3" s="301" t="s">
        <v>32</v>
      </c>
      <c r="AM3" s="284"/>
      <c r="AN3" s="285" t="s">
        <v>42</v>
      </c>
      <c r="AO3" s="286"/>
      <c r="AP3" s="224"/>
    </row>
    <row r="4" spans="1:42" ht="19.75" customHeight="1">
      <c r="A4" s="241"/>
      <c r="B4" s="327"/>
      <c r="C4" s="327"/>
      <c r="D4" s="330"/>
      <c r="E4" s="176" t="s">
        <v>5</v>
      </c>
      <c r="F4" s="177" t="s">
        <v>6</v>
      </c>
      <c r="G4" s="178" t="s">
        <v>7</v>
      </c>
      <c r="H4" s="179" t="s">
        <v>8</v>
      </c>
      <c r="I4" s="18"/>
      <c r="J4" s="167" t="s">
        <v>9</v>
      </c>
      <c r="K4" s="168" t="s">
        <v>10</v>
      </c>
      <c r="L4" s="168" t="s">
        <v>10</v>
      </c>
      <c r="M4" s="168" t="s">
        <v>10</v>
      </c>
      <c r="N4" s="175" t="s">
        <v>10</v>
      </c>
      <c r="O4" s="176" t="s">
        <v>5</v>
      </c>
      <c r="P4" s="177" t="s">
        <v>6</v>
      </c>
      <c r="Q4" s="178" t="s">
        <v>7</v>
      </c>
      <c r="R4" s="179" t="s">
        <v>8</v>
      </c>
      <c r="S4" s="180" t="s">
        <v>5</v>
      </c>
      <c r="T4" s="181" t="s">
        <v>6</v>
      </c>
      <c r="U4" s="183" t="s">
        <v>6</v>
      </c>
      <c r="V4" s="184" t="s">
        <v>7</v>
      </c>
      <c r="W4" s="182" t="s">
        <v>7</v>
      </c>
      <c r="X4" s="179" t="s">
        <v>8</v>
      </c>
      <c r="Y4" s="55" t="s">
        <v>33</v>
      </c>
      <c r="Z4" s="56" t="s">
        <v>34</v>
      </c>
      <c r="AA4" s="57" t="s">
        <v>35</v>
      </c>
      <c r="AB4" s="57" t="s">
        <v>34</v>
      </c>
      <c r="AC4" s="57" t="s">
        <v>35</v>
      </c>
      <c r="AD4" s="57" t="s">
        <v>34</v>
      </c>
      <c r="AE4" s="58" t="s">
        <v>35</v>
      </c>
      <c r="AF4" s="61" t="s">
        <v>34</v>
      </c>
      <c r="AG4" s="59" t="s">
        <v>35</v>
      </c>
      <c r="AH4" s="59" t="s">
        <v>34</v>
      </c>
      <c r="AI4" s="62" t="s">
        <v>35</v>
      </c>
      <c r="AJ4" s="299"/>
      <c r="AK4" s="300"/>
      <c r="AL4" s="301"/>
      <c r="AM4" s="63" t="s">
        <v>71</v>
      </c>
      <c r="AN4" s="64" t="s">
        <v>72</v>
      </c>
      <c r="AO4" s="226" t="s">
        <v>73</v>
      </c>
      <c r="AP4" s="225"/>
    </row>
    <row r="5" spans="1:42" ht="19.75" customHeight="1">
      <c r="A5" s="201" t="s">
        <v>11</v>
      </c>
      <c r="B5" s="202" t="s">
        <v>12</v>
      </c>
      <c r="C5" s="271" t="s">
        <v>13</v>
      </c>
      <c r="D5" s="272"/>
      <c r="E5" s="203">
        <v>13</v>
      </c>
      <c r="F5" s="204">
        <v>6</v>
      </c>
      <c r="G5" s="205">
        <v>5</v>
      </c>
      <c r="H5" s="193">
        <v>5</v>
      </c>
      <c r="I5" s="18"/>
      <c r="J5" s="196">
        <f>IF($C5="","",IFERROR(VLOOKUP($C5,'Valeurs Règlements Nature'!$A$5:$G$8,3,FALSE),""))</f>
        <v>5</v>
      </c>
      <c r="K5" s="197">
        <f>IF($C5="","",IFERROR(VLOOKUP($C5,'Valeurs Règlements Nature'!$A$5:$G$8,4,FALSE),""))</f>
        <v>15</v>
      </c>
      <c r="L5" s="197">
        <f>IF($C5="","",IFERROR(VLOOKUP($C5,'Valeurs Règlements Nature'!$A$5:$G$8,5,FALSE),""))</f>
        <v>15</v>
      </c>
      <c r="M5" s="197">
        <f>IF($C5="","",IFERROR(VLOOKUP($C5,'Valeurs Règlements Nature'!$A$5:$G$8,6,FALSE),""))</f>
        <v>15</v>
      </c>
      <c r="N5" s="198">
        <f>IF($C5="","",IFERROR(VLOOKUP($C5,'Valeurs Règlements Nature'!$A$5:$G$8,7,FALSE),""))</f>
        <v>10</v>
      </c>
      <c r="O5" s="199" t="b">
        <f>IF(OR($C5="",NOT(ISNUMBER(E5))),"",AND(E5&gt;=J5,E5&lt;=K5))</f>
        <v>1</v>
      </c>
      <c r="P5" s="200" t="b">
        <f>IF(OR($C5="",NOT(ISNUMBER(F5))),"",AND(F5&gt;='Valeurs Règlements Nature'!$F$17,F5&lt;=L5))</f>
        <v>1</v>
      </c>
      <c r="Q5" s="200" t="b">
        <f>IF(OR($C5="",NOT(ISNUMBER(G5))),"",AND(G5&gt;='Valeurs Règlements Nature'!$F$17,G5&lt;=M5))</f>
        <v>1</v>
      </c>
      <c r="R5" s="200" t="b">
        <f>IF(OR($C5="",NOT(ISNUMBER(H5))),"",AND(H5&gt;='Valeurs Règlements Nature'!$F$17,H5&lt;=N5))</f>
        <v>1</v>
      </c>
      <c r="S5" s="273" t="str">
        <f>IF(OR(NOT(ISNUMBER(E5)),NOT(ISNUMBER(F5))),"",IF(AND(E5&gt;=F5,ABS(E5-F5)&lt;='Valeurs Règlements Nature'!$F$16),"OK","Hors Fourchette"))</f>
        <v>OK</v>
      </c>
      <c r="T5" s="273"/>
      <c r="U5" s="273" t="str">
        <f>IF(OR(NOT(ISNUMBER(F5)),NOT(ISNUMBER(G5))),"",IF(AND(F5&gt;=G5,ABS(F5-G5)&lt;='Valeurs Règlements Nature'!$F$16),"OK","Hors Fourchette"))</f>
        <v>OK</v>
      </c>
      <c r="V5" s="273"/>
      <c r="W5" s="273" t="str">
        <f>IF(OR(NOT(ISNUMBER(G5)),NOT(ISNUMBER(H5))),"",IF(AND(G5&gt;=H5,ABS(G5-H5)&lt;='Valeurs Règlements Nature'!$F$16),"OK","Hors Fourchette"))</f>
        <v>OK</v>
      </c>
      <c r="X5" s="273"/>
      <c r="Y5" s="84" t="s">
        <v>60</v>
      </c>
      <c r="Z5" s="85">
        <v>7.5</v>
      </c>
      <c r="AA5" s="85"/>
      <c r="AB5" s="85">
        <v>7.5</v>
      </c>
      <c r="AC5" s="85"/>
      <c r="AD5" s="85">
        <v>20</v>
      </c>
      <c r="AE5" s="86"/>
      <c r="AF5" s="87">
        <f>IF(OR($C5="",$Y5=""),"",IF($Y5="Oui",IFERROR(VLOOKUP($C5,'Valeurs Règlements Nature'!$A$5:$Q$8,12,FALSE),""),IFERROR(VLOOKUP($C5,'Valeurs Règlements Nature'!$A$5:$Q$8,13,FALSE),"")))</f>
        <v>7.5</v>
      </c>
      <c r="AG5" s="88" t="str">
        <f>IF(OR($C5="",$Y5="Oui",$Y5=""),"",IFERROR(VLOOKUP($C5,'Valeurs Règlements Nature'!$A$5:$Q$8,14,FALSE),""))</f>
        <v/>
      </c>
      <c r="AH5" s="88">
        <f>IF(OR($C5="",$Y5=""),"",IF($Y5="Oui",IFERROR(VLOOKUP($C5,'Valeurs Règlements Nature'!$A$5:$Q$8,15,FALSE),""),IFERROR(VLOOKUP($C5,'Valeurs Règlements Nature'!$A$5:$Q$8,16,FALSE),"")))</f>
        <v>7.5</v>
      </c>
      <c r="AI5" s="89" t="str">
        <f>IF(OR($C5="",$Y5="Oui",$Y5=""),"",IFERROR(VLOOKUP($C5,'Valeurs Règlements Nature'!$A$5:$Q$8,17,FALSE),""))</f>
        <v/>
      </c>
      <c r="AJ5" s="90">
        <f t="shared" ref="AJ5:AJ26" si="0">IF(NOT(ISNUMBER(Z5)),"",IF($Y5="Oui",PI()*(Z5/2)^2,IF(ISNUMBER(AA5),PI()*(Z5/2)*(AA5/2),"")))</f>
        <v>44.178646691106465</v>
      </c>
      <c r="AK5" s="91">
        <f t="shared" ref="AK5:AK26" si="1">IF(NOT(ISNUMBER(AB5)),"",IF($Y5="Oui",PI()*(AB5/2)^2,IF(ISNUMBER(AC5),PI()*(AB5/2)*(AC5/2),"")))</f>
        <v>44.178646691106465</v>
      </c>
      <c r="AL5" s="92">
        <f t="shared" ref="AL5:AL26" si="2">IF(NOT(ISNUMBER(AD5)),"",IF($Y5="Oui",PI()*(AD5/2)^2,IF(ISNUMBER(AE5),PI()*(AD5/2)*(AE5/2),"")))</f>
        <v>314.15926535897933</v>
      </c>
      <c r="AM5" s="108">
        <f t="shared" ref="AM5:AM26" si="3">IF(OR(AK5="",AK5=0,AL5=""),"",AL5/AK5)</f>
        <v>7.1111111111111116</v>
      </c>
      <c r="AN5" s="109">
        <f>IF($C5="","",IFERROR(VLOOKUP($C5,'Valeurs Règlements Nature'!$A$5:$K$8,9,FALSE),""))</f>
        <v>660</v>
      </c>
      <c r="AO5" s="110" t="str">
        <f>IF(OR($C5="",$Y5="",AJ5="",AK5="",AL5="",AM5=""),"",IF(AND(ABS(Z5-AF5)&lt;=$Y$3,IF($Y5="Oui",TRUE,ABS(AA5-AG5)&lt;=$Y$3),ABS(AB5-AH5)&lt;=$Y$3,IF($Y5="Oui",TRUE,ABS(AC5-AI5)&lt;=$Y$3),AL5&gt;=IFERROR(VLOOKUP($C5,'Valeurs Règlements Nature'!$A$5:$K$8,8,FALSE),0),AL5&lt;=AN5,AM5&gt;=IFERROR(VLOOKUP($C5,'Valeurs Règlements Nature'!$A$5:$K$8,10,FALSE),0),AM5&lt;=IFERROR(VLOOKUP($C5,'Valeurs Règlements Nature'!$A$5:$K$8,11,FALSE),999)),"CONFORME","NON CONFORME"))</f>
        <v>CONFORME</v>
      </c>
      <c r="AP5"/>
    </row>
    <row r="6" spans="1:42" ht="20.75" customHeight="1">
      <c r="A6" s="148">
        <v>1</v>
      </c>
      <c r="B6" s="347" t="str">
        <f>IF(Organisateur!B6="","",Organisateur!B6)</f>
        <v/>
      </c>
      <c r="C6" s="348" t="str">
        <f>IF(Organisateur!C6="","",Organisateur!C6)</f>
        <v/>
      </c>
      <c r="D6" s="348"/>
      <c r="E6" s="349" t="str">
        <f>IF(Organisateur!E6="","",Organisateur!E6)</f>
        <v/>
      </c>
      <c r="F6" s="349" t="str">
        <f>IF(Organisateur!F6="","",Organisateur!F6)</f>
        <v/>
      </c>
      <c r="G6" s="349" t="str">
        <f>IF(Organisateur!G6="","",Organisateur!G6)</f>
        <v/>
      </c>
      <c r="H6" s="350" t="str">
        <f>IF(Organisateur!H6="","",Organisateur!H6)</f>
        <v/>
      </c>
      <c r="I6" s="19"/>
      <c r="J6" s="78" t="str">
        <f>IF($C6="","",IFERROR(VLOOKUP($C6,'Valeurs Règlements Nature'!$A$5:$G$8,3,FALSE),""))</f>
        <v/>
      </c>
      <c r="K6" s="79" t="str">
        <f>IF($C6="","",IFERROR(VLOOKUP($C6,'Valeurs Règlements Nature'!$A$5:$G$8,4,FALSE),""))</f>
        <v/>
      </c>
      <c r="L6" s="79" t="str">
        <f>IF($C6="","",IFERROR(VLOOKUP($C6,'Valeurs Règlements Nature'!$A$5:$G$8,5,FALSE),""))</f>
        <v/>
      </c>
      <c r="M6" s="79" t="str">
        <f>IF($C6="","",IFERROR(VLOOKUP($C6,'Valeurs Règlements Nature'!$A$5:$G$8,6,FALSE),""))</f>
        <v/>
      </c>
      <c r="N6" s="159" t="str">
        <f>IF($C6="","",IFERROR(VLOOKUP($C6,'Valeurs Règlements Nature'!$A$5:$G$8,7,FALSE),""))</f>
        <v/>
      </c>
      <c r="O6" s="194" t="str">
        <f>IF(OR($C6="",NOT(ISNUMBER(E6))),"",AND(E6&gt;=J6,E6&lt;=K6))</f>
        <v/>
      </c>
      <c r="P6" s="195" t="str">
        <f>IF(OR($C6="",NOT(ISNUMBER(F6))),"",AND(F6&gt;='Valeurs Règlements Nature'!$F$17,F6&lt;=L6))</f>
        <v/>
      </c>
      <c r="Q6" s="195" t="str">
        <f>IF(OR($C6="",NOT(ISNUMBER(G6))),"",AND(G6&gt;='Valeurs Règlements Nature'!$F$17,G6&lt;=M6))</f>
        <v/>
      </c>
      <c r="R6" s="191" t="str">
        <f>IF(OR($C6="",NOT(ISNUMBER(H6))),"",AND(H6&gt;='Valeurs Règlements Nature'!$F$17,H6&lt;=N6))</f>
        <v/>
      </c>
      <c r="S6" s="274" t="str">
        <f>IF(OR(NOT(ISNUMBER(E6)),NOT(ISNUMBER(F6))),"",IF(AND(E6&gt;=F6,ABS(E6-F6)&lt;='Valeurs Règlements Nature'!$F$16),"OK","Hors Fourchette"))</f>
        <v/>
      </c>
      <c r="T6" s="274"/>
      <c r="U6" s="274" t="str">
        <f>IF(OR(NOT(ISNUMBER(F6)),NOT(ISNUMBER(G6))),"",IF(AND(F6&gt;=G6,ABS(F6-G6)&lt;='Valeurs Règlements Nature'!$F$16),"OK","Hors Fourchette"))</f>
        <v/>
      </c>
      <c r="V6" s="274"/>
      <c r="W6" s="274" t="str">
        <f>IF(OR(NOT(ISNUMBER(G6)),NOT(ISNUMBER(H6))),"",IF(AND(G6&gt;=H6,ABS(G6-H6)&lt;='Valeurs Règlements Nature'!$F$16),"OK","Hors Fourchette"))</f>
        <v/>
      </c>
      <c r="X6" s="274"/>
      <c r="Y6" s="93"/>
      <c r="Z6" s="94"/>
      <c r="AA6" s="94"/>
      <c r="AB6" s="94"/>
      <c r="AC6" s="94"/>
      <c r="AD6" s="94"/>
      <c r="AE6" s="95"/>
      <c r="AF6" s="96" t="str">
        <f>IF(OR($C6="",$Y6=""),"",IF($Y6="Oui",IFERROR(VLOOKUP($C6,'Valeurs Règlements Nature'!$A$5:$Q$8,12,FALSE),""),IFERROR(VLOOKUP($C6,'Valeurs Règlements Nature'!$A$5:$Q$8,13,FALSE),"")))</f>
        <v/>
      </c>
      <c r="AG6" s="97" t="str">
        <f>IF(OR($C6="",$Y6="Oui",$Y6=""),"",IFERROR(VLOOKUP($C6,'Valeurs Règlements Nature'!$A$5:$Q$8,14,FALSE),""))</f>
        <v/>
      </c>
      <c r="AH6" s="97" t="str">
        <f>IF(OR($C6="",$Y6=""),"",IF($Y6="Oui",IFERROR(VLOOKUP($C6,'Valeurs Règlements Nature'!$A$5:$Q$8,15,FALSE),""),IFERROR(VLOOKUP($C6,'Valeurs Règlements Nature'!$A$5:$Q$8,16,FALSE),"")))</f>
        <v/>
      </c>
      <c r="AI6" s="98" t="str">
        <f>IF(OR($C6="",$Y6="Oui",$Y6=""),"",IFERROR(VLOOKUP($C6,'Valeurs Règlements Nature'!$A$5:$Q$8,17,FALSE),""))</f>
        <v/>
      </c>
      <c r="AJ6" s="90" t="str">
        <f t="shared" si="0"/>
        <v/>
      </c>
      <c r="AK6" s="91" t="str">
        <f t="shared" si="1"/>
        <v/>
      </c>
      <c r="AL6" s="92" t="str">
        <f t="shared" si="2"/>
        <v/>
      </c>
      <c r="AM6" s="111" t="str">
        <f t="shared" si="3"/>
        <v/>
      </c>
      <c r="AN6" s="112" t="str">
        <f>IF($C6="","",IFERROR(VLOOKUP($C6,'Valeurs Règlements Nature'!$A$5:$K$8,9,FALSE),""))</f>
        <v/>
      </c>
      <c r="AO6" s="113" t="str">
        <f>IF(OR($C6="",$Y6="",AJ6="",AK6="",AL6="",AM6=""),"",IF(AND(ABS(Z6-AF6)&lt;=$Y$3,IF($Y6="Oui",TRUE,ABS(AA6-AG6)&lt;=$Y$3),ABS(AB6-AH6)&lt;=$Y$3,IF($Y6="Oui",TRUE,ABS(AC6-AI6)&lt;=$Y$3),AL6&gt;=IFERROR(VLOOKUP($C6,'Valeurs Règlements Nature'!$A$5:$K$8,8,FALSE),0),AL6&lt;=AN6,AM6&gt;=IFERROR(VLOOKUP($C6,'Valeurs Règlements Nature'!$A$5:$K$8,10,FALSE),0),AM6&lt;=IFERROR(VLOOKUP($C6,'Valeurs Règlements Nature'!$A$5:$K$8,11,FALSE),999)),"CONFORME","NON CONFORME"))</f>
        <v/>
      </c>
      <c r="AP6"/>
    </row>
    <row r="7" spans="1:42" ht="20.75" customHeight="1">
      <c r="A7" s="149">
        <v>2</v>
      </c>
      <c r="B7" s="351" t="str">
        <f>IF(Organisateur!B7="","",Organisateur!B7)</f>
        <v/>
      </c>
      <c r="C7" s="352" t="str">
        <f>IF(Organisateur!C7="","",Organisateur!C7)</f>
        <v/>
      </c>
      <c r="D7" s="352"/>
      <c r="E7" s="353" t="str">
        <f>IF(Organisateur!E7="","",Organisateur!E7)</f>
        <v/>
      </c>
      <c r="F7" s="353" t="str">
        <f>IF(Organisateur!F7="","",Organisateur!F7)</f>
        <v/>
      </c>
      <c r="G7" s="353" t="str">
        <f>IF(Organisateur!G7="","",Organisateur!G7)</f>
        <v/>
      </c>
      <c r="H7" s="353" t="str">
        <f>IF(Organisateur!H7="","",Organisateur!H7)</f>
        <v/>
      </c>
      <c r="I7" s="19"/>
      <c r="J7" s="80" t="str">
        <f>IF($C7="","",IFERROR(VLOOKUP($C7,'Valeurs Règlements Nature'!$A$5:$G$8,3,FALSE),""))</f>
        <v/>
      </c>
      <c r="K7" s="81" t="str">
        <f>IF($C7="","",IFERROR(VLOOKUP($C7,'Valeurs Règlements Nature'!$A$5:$G$8,4,FALSE),""))</f>
        <v/>
      </c>
      <c r="L7" s="81" t="str">
        <f>IF($C7="","",IFERROR(VLOOKUP($C7,'Valeurs Règlements Nature'!$A$5:$G$8,5,FALSE),""))</f>
        <v/>
      </c>
      <c r="M7" s="81" t="str">
        <f>IF($C7="","",IFERROR(VLOOKUP($C7,'Valeurs Règlements Nature'!$A$5:$G$8,6,FALSE),""))</f>
        <v/>
      </c>
      <c r="N7" s="160" t="str">
        <f>IF($C7="","",IFERROR(VLOOKUP($C7,'Valeurs Règlements Nature'!$A$5:$G$8,7,FALSE),""))</f>
        <v/>
      </c>
      <c r="O7" s="45" t="str">
        <f t="shared" ref="O7:O26" si="4">IF(OR($C7="",NOT(ISNUMBER(E7))),"",AND(E7&gt;=J7,E7&lt;=K7))</f>
        <v/>
      </c>
      <c r="P7" s="44" t="str">
        <f>IF(OR($C7="",NOT(ISNUMBER(F7))),"",AND(F7&gt;='Valeurs Règlements Nature'!$F$17,F7&lt;=L7))</f>
        <v/>
      </c>
      <c r="Q7" s="44" t="str">
        <f>IF(OR($C7="",NOT(ISNUMBER(G7))),"",AND(G7&gt;='Valeurs Règlements Nature'!$F$17,G7&lt;=M7))</f>
        <v/>
      </c>
      <c r="R7" s="46" t="str">
        <f>IF(OR($C7="",NOT(ISNUMBER(H7))),"",AND(H7&gt;='Valeurs Règlements Nature'!$F$17,H7&lt;=N7))</f>
        <v/>
      </c>
      <c r="S7" s="227" t="str">
        <f>IF(OR(NOT(ISNUMBER(E7)),NOT(ISNUMBER(F7))),"",IF(AND(E7&gt;=F7,ABS(E7-F7)&lt;='Valeurs Règlements Nature'!$F$16),"OK","Hors Fourchette"))</f>
        <v/>
      </c>
      <c r="T7" s="227"/>
      <c r="U7" s="227" t="str">
        <f>IF(OR(NOT(ISNUMBER(F7)),NOT(ISNUMBER(G7))),"",IF(AND(F7&gt;=G7,ABS(F7-G7)&lt;='Valeurs Règlements Nature'!$F$16),"OK","Hors Fourchette"))</f>
        <v/>
      </c>
      <c r="V7" s="227"/>
      <c r="W7" s="227" t="str">
        <f>IF(OR(NOT(ISNUMBER(G7)),NOT(ISNUMBER(H7))),"",IF(AND(G7&gt;=H7,ABS(G7-H7)&lt;='Valeurs Règlements Nature'!$F$16),"OK","Hors Fourchette"))</f>
        <v/>
      </c>
      <c r="X7" s="227"/>
      <c r="Y7" s="93"/>
      <c r="Z7" s="94"/>
      <c r="AA7" s="94"/>
      <c r="AB7" s="94"/>
      <c r="AC7" s="94"/>
      <c r="AD7" s="94"/>
      <c r="AE7" s="95"/>
      <c r="AF7" s="96" t="str">
        <f>IF(OR($C7="",$Y7=""),"",IF($Y7="Oui",IFERROR(VLOOKUP($C7,'Valeurs Règlements Nature'!$A$5:$Q$8,12,FALSE),""),IFERROR(VLOOKUP($C7,'Valeurs Règlements Nature'!$A$5:$Q$8,13,FALSE),"")))</f>
        <v/>
      </c>
      <c r="AG7" s="97" t="str">
        <f>IF(OR($C7="",$Y7="Oui",$Y7=""),"",IFERROR(VLOOKUP($C7,'Valeurs Règlements Nature'!$A$5:$Q$8,14,FALSE),""))</f>
        <v/>
      </c>
      <c r="AH7" s="97" t="str">
        <f>IF(OR($C7="",$Y7=""),"",IF($Y7="Oui",IFERROR(VLOOKUP($C7,'Valeurs Règlements Nature'!$A$5:$Q$8,15,FALSE),""),IFERROR(VLOOKUP($C7,'Valeurs Règlements Nature'!$A$5:$Q$8,16,FALSE),"")))</f>
        <v/>
      </c>
      <c r="AI7" s="98" t="str">
        <f>IF(OR($C7="",$Y7="Oui",$Y7=""),"",IFERROR(VLOOKUP($C7,'Valeurs Règlements Nature'!$A$5:$Q$8,17,FALSE),""))</f>
        <v/>
      </c>
      <c r="AJ7" s="90" t="str">
        <f t="shared" si="0"/>
        <v/>
      </c>
      <c r="AK7" s="91" t="str">
        <f t="shared" si="1"/>
        <v/>
      </c>
      <c r="AL7" s="92" t="str">
        <f t="shared" si="2"/>
        <v/>
      </c>
      <c r="AM7" s="111" t="str">
        <f t="shared" si="3"/>
        <v/>
      </c>
      <c r="AN7" s="112" t="str">
        <f>IF($C7="","",IFERROR(VLOOKUP($C7,'Valeurs Règlements Nature'!$A$5:$K$8,9,FALSE),""))</f>
        <v/>
      </c>
      <c r="AO7" s="113" t="str">
        <f>IF(OR($C7="",$Y7="",AJ7="",AK7="",AL7="",AM7=""),"",IF(AND(ABS(Z7-AF7)&lt;=$Y$3,IF($Y7="Oui",TRUE,ABS(AA7-AG7)&lt;=$Y$3),ABS(AB7-AH7)&lt;=$Y$3,IF($Y7="Oui",TRUE,ABS(AC7-AI7)&lt;=$Y$3),AL7&gt;=IFERROR(VLOOKUP($C7,'Valeurs Règlements Nature'!$A$5:$K$8,8,FALSE),0),AL7&lt;=AN7,AM7&gt;=IFERROR(VLOOKUP($C7,'Valeurs Règlements Nature'!$A$5:$K$8,10,FALSE),0),AM7&lt;=IFERROR(VLOOKUP($C7,'Valeurs Règlements Nature'!$A$5:$K$8,11,FALSE),999)),"CONFORME","NON CONFORME"))</f>
        <v/>
      </c>
      <c r="AP7"/>
    </row>
    <row r="8" spans="1:42" ht="20.75" customHeight="1">
      <c r="A8" s="149">
        <v>3</v>
      </c>
      <c r="B8" s="351" t="str">
        <f>IF(Organisateur!B8="","",Organisateur!B8)</f>
        <v/>
      </c>
      <c r="C8" s="352" t="str">
        <f>IF(Organisateur!C8="","",Organisateur!C8)</f>
        <v/>
      </c>
      <c r="D8" s="352"/>
      <c r="E8" s="353" t="str">
        <f>IF(Organisateur!E8="","",Organisateur!E8)</f>
        <v/>
      </c>
      <c r="F8" s="353" t="str">
        <f>IF(Organisateur!F8="","",Organisateur!F8)</f>
        <v/>
      </c>
      <c r="G8" s="353" t="str">
        <f>IF(Organisateur!G8="","",Organisateur!G8)</f>
        <v/>
      </c>
      <c r="H8" s="353" t="str">
        <f>IF(Organisateur!H8="","",Organisateur!H8)</f>
        <v/>
      </c>
      <c r="I8" s="19"/>
      <c r="J8" s="80" t="str">
        <f>IF($C8="","",IFERROR(VLOOKUP($C8,'Valeurs Règlements Nature'!$A$5:$G$8,3,FALSE),""))</f>
        <v/>
      </c>
      <c r="K8" s="81" t="str">
        <f>IF($C8="","",IFERROR(VLOOKUP($C8,'Valeurs Règlements Nature'!$A$5:$G$8,4,FALSE),""))</f>
        <v/>
      </c>
      <c r="L8" s="81" t="str">
        <f>IF($C8="","",IFERROR(VLOOKUP($C8,'Valeurs Règlements Nature'!$A$5:$G$8,5,FALSE),""))</f>
        <v/>
      </c>
      <c r="M8" s="81" t="str">
        <f>IF($C8="","",IFERROR(VLOOKUP($C8,'Valeurs Règlements Nature'!$A$5:$G$8,6,FALSE),""))</f>
        <v/>
      </c>
      <c r="N8" s="160" t="str">
        <f>IF($C8="","",IFERROR(VLOOKUP($C8,'Valeurs Règlements Nature'!$A$5:$G$8,7,FALSE),""))</f>
        <v/>
      </c>
      <c r="O8" s="45" t="str">
        <f t="shared" si="4"/>
        <v/>
      </c>
      <c r="P8" s="44" t="str">
        <f>IF(OR($C8="",NOT(ISNUMBER(F8))),"",AND(F8&gt;='Valeurs Règlements Nature'!$F$17,F8&lt;=L8))</f>
        <v/>
      </c>
      <c r="Q8" s="44" t="str">
        <f>IF(OR($C8="",NOT(ISNUMBER(G8))),"",AND(G8&gt;='Valeurs Règlements Nature'!$F$17,G8&lt;=M8))</f>
        <v/>
      </c>
      <c r="R8" s="46" t="str">
        <f>IF(OR($C8="",NOT(ISNUMBER(H8))),"",AND(H8&gt;='Valeurs Règlements Nature'!$F$17,H8&lt;=N8))</f>
        <v/>
      </c>
      <c r="S8" s="227" t="str">
        <f>IF(OR(NOT(ISNUMBER(E8)),NOT(ISNUMBER(F8))),"",IF(AND(E8&gt;=F8,ABS(E8-F8)&lt;='Valeurs Règlements Nature'!$F$16),"OK","Hors Fourchette"))</f>
        <v/>
      </c>
      <c r="T8" s="227"/>
      <c r="U8" s="227" t="str">
        <f>IF(OR(NOT(ISNUMBER(F8)),NOT(ISNUMBER(G8))),"",IF(AND(F8&gt;=G8,ABS(F8-G8)&lt;='Valeurs Règlements Nature'!$F$16),"OK","Hors Fourchette"))</f>
        <v/>
      </c>
      <c r="V8" s="227"/>
      <c r="W8" s="227" t="str">
        <f>IF(OR(NOT(ISNUMBER(G8)),NOT(ISNUMBER(H8))),"",IF(AND(G8&gt;=H8,ABS(G8-H8)&lt;='Valeurs Règlements Nature'!$F$16),"OK","Hors Fourchette"))</f>
        <v/>
      </c>
      <c r="X8" s="227"/>
      <c r="Y8" s="93"/>
      <c r="Z8" s="94"/>
      <c r="AA8" s="94"/>
      <c r="AB8" s="94"/>
      <c r="AC8" s="94"/>
      <c r="AD8" s="94"/>
      <c r="AE8" s="95"/>
      <c r="AF8" s="96" t="str">
        <f>IF(OR($C8="",$Y8=""),"",IF($Y8="Oui",IFERROR(VLOOKUP($C8,'Valeurs Règlements Nature'!$A$5:$Q$8,12,FALSE),""),IFERROR(VLOOKUP($C8,'Valeurs Règlements Nature'!$A$5:$Q$8,13,FALSE),"")))</f>
        <v/>
      </c>
      <c r="AG8" s="97" t="str">
        <f>IF(OR($C8="",$Y8="Oui",$Y8=""),"",IFERROR(VLOOKUP($C8,'Valeurs Règlements Nature'!$A$5:$Q$8,14,FALSE),""))</f>
        <v/>
      </c>
      <c r="AH8" s="97" t="str">
        <f>IF(OR($C8="",$Y8=""),"",IF($Y8="Oui",IFERROR(VLOOKUP($C8,'Valeurs Règlements Nature'!$A$5:$Q$8,15,FALSE),""),IFERROR(VLOOKUP($C8,'Valeurs Règlements Nature'!$A$5:$Q$8,16,FALSE),"")))</f>
        <v/>
      </c>
      <c r="AI8" s="98" t="str">
        <f>IF(OR($C8="",$Y8="Oui",$Y8=""),"",IFERROR(VLOOKUP($C8,'Valeurs Règlements Nature'!$A$5:$Q$8,17,FALSE),""))</f>
        <v/>
      </c>
      <c r="AJ8" s="90" t="str">
        <f t="shared" si="0"/>
        <v/>
      </c>
      <c r="AK8" s="91" t="str">
        <f t="shared" si="1"/>
        <v/>
      </c>
      <c r="AL8" s="92" t="str">
        <f t="shared" si="2"/>
        <v/>
      </c>
      <c r="AM8" s="111" t="str">
        <f t="shared" si="3"/>
        <v/>
      </c>
      <c r="AN8" s="112" t="str">
        <f>IF($C8="","",IFERROR(VLOOKUP($C8,'Valeurs Règlements Nature'!$A$5:$K$8,9,FALSE),""))</f>
        <v/>
      </c>
      <c r="AO8" s="113" t="str">
        <f>IF(OR($C8="",$Y8="",AJ8="",AK8="",AL8="",AM8=""),"",IF(AND(ABS(Z8-AF8)&lt;=$Y$3,IF($Y8="Oui",TRUE,ABS(AA8-AG8)&lt;=$Y$3),ABS(AB8-AH8)&lt;=$Y$3,IF($Y8="Oui",TRUE,ABS(AC8-AI8)&lt;=$Y$3),AL8&gt;=IFERROR(VLOOKUP($C8,'Valeurs Règlements Nature'!$A$5:$K$8,8,FALSE),0),AL8&lt;=AN8,AM8&gt;=IFERROR(VLOOKUP($C8,'Valeurs Règlements Nature'!$A$5:$K$8,10,FALSE),0),AM8&lt;=IFERROR(VLOOKUP($C8,'Valeurs Règlements Nature'!$A$5:$K$8,11,FALSE),999)),"CONFORME","NON CONFORME"))</f>
        <v/>
      </c>
      <c r="AP8"/>
    </row>
    <row r="9" spans="1:42" ht="20.75" customHeight="1">
      <c r="A9" s="149">
        <v>4</v>
      </c>
      <c r="B9" s="351" t="str">
        <f>IF(Organisateur!B9="","",Organisateur!B9)</f>
        <v/>
      </c>
      <c r="C9" s="352" t="str">
        <f>IF(Organisateur!C9="","",Organisateur!C9)</f>
        <v/>
      </c>
      <c r="D9" s="352"/>
      <c r="E9" s="353" t="str">
        <f>IF(Organisateur!E9="","",Organisateur!E9)</f>
        <v/>
      </c>
      <c r="F9" s="353" t="str">
        <f>IF(Organisateur!F9="","",Organisateur!F9)</f>
        <v/>
      </c>
      <c r="G9" s="353" t="str">
        <f>IF(Organisateur!G9="","",Organisateur!G9)</f>
        <v/>
      </c>
      <c r="H9" s="353" t="str">
        <f>IF(Organisateur!H9="","",Organisateur!H9)</f>
        <v/>
      </c>
      <c r="I9" s="19"/>
      <c r="J9" s="80" t="str">
        <f>IF($C9="","",IFERROR(VLOOKUP($C9,'Valeurs Règlements Nature'!$A$5:$G$8,3,FALSE),""))</f>
        <v/>
      </c>
      <c r="K9" s="81" t="str">
        <f>IF($C9="","",IFERROR(VLOOKUP($C9,'Valeurs Règlements Nature'!$A$5:$G$8,4,FALSE),""))</f>
        <v/>
      </c>
      <c r="L9" s="81" t="str">
        <f>IF($C9="","",IFERROR(VLOOKUP($C9,'Valeurs Règlements Nature'!$A$5:$G$8,5,FALSE),""))</f>
        <v/>
      </c>
      <c r="M9" s="81" t="str">
        <f>IF($C9="","",IFERROR(VLOOKUP($C9,'Valeurs Règlements Nature'!$A$5:$G$8,6,FALSE),""))</f>
        <v/>
      </c>
      <c r="N9" s="160" t="str">
        <f>IF($C9="","",IFERROR(VLOOKUP($C9,'Valeurs Règlements Nature'!$A$5:$G$8,7,FALSE),""))</f>
        <v/>
      </c>
      <c r="O9" s="45" t="str">
        <f t="shared" si="4"/>
        <v/>
      </c>
      <c r="P9" s="44" t="str">
        <f>IF(OR($C9="",NOT(ISNUMBER(F9))),"",AND(F9&gt;='Valeurs Règlements Nature'!$F$17,F9&lt;=L9))</f>
        <v/>
      </c>
      <c r="Q9" s="44" t="str">
        <f>IF(OR($C9="",NOT(ISNUMBER(G9))),"",AND(G9&gt;='Valeurs Règlements Nature'!$F$17,G9&lt;=M9))</f>
        <v/>
      </c>
      <c r="R9" s="46" t="str">
        <f>IF(OR($C9="",NOT(ISNUMBER(H9))),"",AND(H9&gt;='Valeurs Règlements Nature'!$F$17,H9&lt;=N9))</f>
        <v/>
      </c>
      <c r="S9" s="227" t="str">
        <f>IF(OR(NOT(ISNUMBER(E9)),NOT(ISNUMBER(F9))),"",IF(AND(E9&gt;=F9,ABS(E9-F9)&lt;='Valeurs Règlements Nature'!$F$16),"OK","Hors Fourchette"))</f>
        <v/>
      </c>
      <c r="T9" s="227"/>
      <c r="U9" s="227" t="str">
        <f>IF(OR(NOT(ISNUMBER(F9)),NOT(ISNUMBER(G9))),"",IF(AND(F9&gt;=G9,ABS(F9-G9)&lt;='Valeurs Règlements Nature'!$F$16),"OK","Hors Fourchette"))</f>
        <v/>
      </c>
      <c r="V9" s="227"/>
      <c r="W9" s="227" t="str">
        <f>IF(OR(NOT(ISNUMBER(G9)),NOT(ISNUMBER(H9))),"",IF(AND(G9&gt;=H9,ABS(G9-H9)&lt;='Valeurs Règlements Nature'!$F$16),"OK","Hors Fourchette"))</f>
        <v/>
      </c>
      <c r="X9" s="227"/>
      <c r="Y9" s="93"/>
      <c r="Z9" s="94"/>
      <c r="AA9" s="94"/>
      <c r="AB9" s="94"/>
      <c r="AC9" s="94"/>
      <c r="AD9" s="94"/>
      <c r="AE9" s="95"/>
      <c r="AF9" s="96" t="str">
        <f>IF(OR($C9="",$Y9=""),"",IF($Y9="Oui",IFERROR(VLOOKUP($C9,'Valeurs Règlements Nature'!$A$5:$Q$8,12,FALSE),""),IFERROR(VLOOKUP($C9,'Valeurs Règlements Nature'!$A$5:$Q$8,13,FALSE),"")))</f>
        <v/>
      </c>
      <c r="AG9" s="97" t="str">
        <f>IF(OR($C9="",$Y9="Oui",$Y9=""),"",IFERROR(VLOOKUP($C9,'Valeurs Règlements Nature'!$A$5:$Q$8,14,FALSE),""))</f>
        <v/>
      </c>
      <c r="AH9" s="97" t="str">
        <f>IF(OR($C9="",$Y9=""),"",IF($Y9="Oui",IFERROR(VLOOKUP($C9,'Valeurs Règlements Nature'!$A$5:$Q$8,15,FALSE),""),IFERROR(VLOOKUP($C9,'Valeurs Règlements Nature'!$A$5:$Q$8,16,FALSE),"")))</f>
        <v/>
      </c>
      <c r="AI9" s="98" t="str">
        <f>IF(OR($C9="",$Y9="Oui",$Y9=""),"",IFERROR(VLOOKUP($C9,'Valeurs Règlements Nature'!$A$5:$Q$8,17,FALSE),""))</f>
        <v/>
      </c>
      <c r="AJ9" s="90" t="str">
        <f t="shared" si="0"/>
        <v/>
      </c>
      <c r="AK9" s="91" t="str">
        <f t="shared" si="1"/>
        <v/>
      </c>
      <c r="AL9" s="92" t="str">
        <f t="shared" si="2"/>
        <v/>
      </c>
      <c r="AM9" s="111" t="str">
        <f t="shared" si="3"/>
        <v/>
      </c>
      <c r="AN9" s="112" t="str">
        <f>IF($C9="","",IFERROR(VLOOKUP($C9,'Valeurs Règlements Nature'!$A$5:$K$8,9,FALSE),""))</f>
        <v/>
      </c>
      <c r="AO9" s="113" t="str">
        <f>IF(OR($C9="",$Y9="",AJ9="",AK9="",AL9="",AM9=""),"",IF(AND(ABS(Z9-AF9)&lt;=$Y$3,IF($Y9="Oui",TRUE,ABS(AA9-AG9)&lt;=$Y$3),ABS(AB9-AH9)&lt;=$Y$3,IF($Y9="Oui",TRUE,ABS(AC9-AI9)&lt;=$Y$3),AL9&gt;=IFERROR(VLOOKUP($C9,'Valeurs Règlements Nature'!$A$5:$K$8,8,FALSE),0),AL9&lt;=AN9,AM9&gt;=IFERROR(VLOOKUP($C9,'Valeurs Règlements Nature'!$A$5:$K$8,10,FALSE),0),AM9&lt;=IFERROR(VLOOKUP($C9,'Valeurs Règlements Nature'!$A$5:$K$8,11,FALSE),999)),"CONFORME","NON CONFORME"))</f>
        <v/>
      </c>
      <c r="AP9"/>
    </row>
    <row r="10" spans="1:42" ht="20.75" customHeight="1">
      <c r="A10" s="149">
        <v>5</v>
      </c>
      <c r="B10" s="351" t="str">
        <f>IF(Organisateur!B10="","",Organisateur!B10)</f>
        <v/>
      </c>
      <c r="C10" s="352" t="str">
        <f>IF(Organisateur!C10="","",Organisateur!C10)</f>
        <v/>
      </c>
      <c r="D10" s="352"/>
      <c r="E10" s="353" t="str">
        <f>IF(Organisateur!E10="","",Organisateur!E10)</f>
        <v/>
      </c>
      <c r="F10" s="353" t="str">
        <f>IF(Organisateur!F10="","",Organisateur!F10)</f>
        <v/>
      </c>
      <c r="G10" s="353" t="str">
        <f>IF(Organisateur!G10="","",Organisateur!G10)</f>
        <v/>
      </c>
      <c r="H10" s="353" t="str">
        <f>IF(Organisateur!H10="","",Organisateur!H10)</f>
        <v/>
      </c>
      <c r="I10" s="19"/>
      <c r="J10" s="80" t="str">
        <f>IF($C10="","",IFERROR(VLOOKUP($C10,'Valeurs Règlements Nature'!$A$5:$G$8,3,FALSE),""))</f>
        <v/>
      </c>
      <c r="K10" s="81" t="str">
        <f>IF($C10="","",IFERROR(VLOOKUP($C10,'Valeurs Règlements Nature'!$A$5:$G$8,4,FALSE),""))</f>
        <v/>
      </c>
      <c r="L10" s="81" t="str">
        <f>IF($C10="","",IFERROR(VLOOKUP($C10,'Valeurs Règlements Nature'!$A$5:$G$8,5,FALSE),""))</f>
        <v/>
      </c>
      <c r="M10" s="81" t="str">
        <f>IF($C10="","",IFERROR(VLOOKUP($C10,'Valeurs Règlements Nature'!$A$5:$G$8,6,FALSE),""))</f>
        <v/>
      </c>
      <c r="N10" s="160" t="str">
        <f>IF($C10="","",IFERROR(VLOOKUP($C10,'Valeurs Règlements Nature'!$A$5:$G$8,7,FALSE),""))</f>
        <v/>
      </c>
      <c r="O10" s="45" t="str">
        <f t="shared" si="4"/>
        <v/>
      </c>
      <c r="P10" s="44" t="str">
        <f>IF(OR($C10="",NOT(ISNUMBER(F10))),"",AND(F10&gt;='Valeurs Règlements Nature'!$F$17,F10&lt;=L10))</f>
        <v/>
      </c>
      <c r="Q10" s="44" t="str">
        <f>IF(OR($C10="",NOT(ISNUMBER(G10))),"",AND(G10&gt;='Valeurs Règlements Nature'!$F$17,G10&lt;=M10))</f>
        <v/>
      </c>
      <c r="R10" s="46" t="str">
        <f>IF(OR($C10="",NOT(ISNUMBER(H10))),"",AND(H10&gt;='Valeurs Règlements Nature'!$F$17,H10&lt;=N10))</f>
        <v/>
      </c>
      <c r="S10" s="227" t="str">
        <f>IF(OR(NOT(ISNUMBER(E10)),NOT(ISNUMBER(F10))),"",IF(AND(E10&gt;=F10,ABS(E10-F10)&lt;='Valeurs Règlements Nature'!$F$16),"OK","Hors Fourchette"))</f>
        <v/>
      </c>
      <c r="T10" s="227"/>
      <c r="U10" s="227" t="str">
        <f>IF(OR(NOT(ISNUMBER(F10)),NOT(ISNUMBER(G10))),"",IF(AND(F10&gt;=G10,ABS(F10-G10)&lt;='Valeurs Règlements Nature'!$F$16),"OK","Hors Fourchette"))</f>
        <v/>
      </c>
      <c r="V10" s="227"/>
      <c r="W10" s="227" t="str">
        <f>IF(OR(NOT(ISNUMBER(G10)),NOT(ISNUMBER(H10))),"",IF(AND(G10&gt;=H10,ABS(G10-H10)&lt;='Valeurs Règlements Nature'!$F$16),"OK","Hors Fourchette"))</f>
        <v/>
      </c>
      <c r="X10" s="227"/>
      <c r="Y10" s="93"/>
      <c r="Z10" s="94"/>
      <c r="AA10" s="94"/>
      <c r="AB10" s="94"/>
      <c r="AC10" s="94"/>
      <c r="AD10" s="94"/>
      <c r="AE10" s="95"/>
      <c r="AF10" s="96" t="str">
        <f>IF(OR($C10="",$Y10=""),"",IF($Y10="Oui",IFERROR(VLOOKUP($C10,'Valeurs Règlements Nature'!$A$5:$Q$8,12,FALSE),""),IFERROR(VLOOKUP($C10,'Valeurs Règlements Nature'!$A$5:$Q$8,13,FALSE),"")))</f>
        <v/>
      </c>
      <c r="AG10" s="97" t="str">
        <f>IF(OR($C10="",$Y10="Oui",$Y10=""),"",IFERROR(VLOOKUP($C10,'Valeurs Règlements Nature'!$A$5:$Q$8,14,FALSE),""))</f>
        <v/>
      </c>
      <c r="AH10" s="97" t="str">
        <f>IF(OR($C10="",$Y10=""),"",IF($Y10="Oui",IFERROR(VLOOKUP($C10,'Valeurs Règlements Nature'!$A$5:$Q$8,15,FALSE),""),IFERROR(VLOOKUP($C10,'Valeurs Règlements Nature'!$A$5:$Q$8,16,FALSE),"")))</f>
        <v/>
      </c>
      <c r="AI10" s="98" t="str">
        <f>IF(OR($C10="",$Y10="Oui",$Y10=""),"",IFERROR(VLOOKUP($C10,'Valeurs Règlements Nature'!$A$5:$Q$8,17,FALSE),""))</f>
        <v/>
      </c>
      <c r="AJ10" s="90" t="str">
        <f t="shared" si="0"/>
        <v/>
      </c>
      <c r="AK10" s="91" t="str">
        <f t="shared" si="1"/>
        <v/>
      </c>
      <c r="AL10" s="92" t="str">
        <f t="shared" si="2"/>
        <v/>
      </c>
      <c r="AM10" s="111" t="str">
        <f t="shared" si="3"/>
        <v/>
      </c>
      <c r="AN10" s="112" t="str">
        <f>IF($C10="","",IFERROR(VLOOKUP($C10,'Valeurs Règlements Nature'!$A$5:$K$8,9,FALSE),""))</f>
        <v/>
      </c>
      <c r="AO10" s="113" t="str">
        <f>IF(OR($C10="",$Y10="",AJ10="",AK10="",AL10="",AM10=""),"",IF(AND(ABS(Z10-AF10)&lt;=$Y$3,IF($Y10="Oui",TRUE,ABS(AA10-AG10)&lt;=$Y$3),ABS(AB10-AH10)&lt;=$Y$3,IF($Y10="Oui",TRUE,ABS(AC10-AI10)&lt;=$Y$3),AL10&gt;=IFERROR(VLOOKUP($C10,'Valeurs Règlements Nature'!$A$5:$K$8,8,FALSE),0),AL10&lt;=AN10,AM10&gt;=IFERROR(VLOOKUP($C10,'Valeurs Règlements Nature'!$A$5:$K$8,10,FALSE),0),AM10&lt;=IFERROR(VLOOKUP($C10,'Valeurs Règlements Nature'!$A$5:$K$8,11,FALSE),999)),"CONFORME","NON CONFORME"))</f>
        <v/>
      </c>
      <c r="AP10"/>
    </row>
    <row r="11" spans="1:42" ht="20.75" customHeight="1">
      <c r="A11" s="149">
        <v>6</v>
      </c>
      <c r="B11" s="351" t="str">
        <f>IF(Organisateur!B11="","",Organisateur!B11)</f>
        <v/>
      </c>
      <c r="C11" s="352" t="str">
        <f>IF(Organisateur!C11="","",Organisateur!C11)</f>
        <v/>
      </c>
      <c r="D11" s="352"/>
      <c r="E11" s="353" t="str">
        <f>IF(Organisateur!E11="","",Organisateur!E11)</f>
        <v/>
      </c>
      <c r="F11" s="353" t="str">
        <f>IF(Organisateur!F11="","",Organisateur!F11)</f>
        <v/>
      </c>
      <c r="G11" s="353" t="str">
        <f>IF(Organisateur!G11="","",Organisateur!G11)</f>
        <v/>
      </c>
      <c r="H11" s="353" t="str">
        <f>IF(Organisateur!H11="","",Organisateur!H11)</f>
        <v/>
      </c>
      <c r="I11" s="19"/>
      <c r="J11" s="80" t="str">
        <f>IF($C11="","",IFERROR(VLOOKUP($C11,'Valeurs Règlements Nature'!$A$5:$G$8,3,FALSE),""))</f>
        <v/>
      </c>
      <c r="K11" s="81" t="str">
        <f>IF($C11="","",IFERROR(VLOOKUP($C11,'Valeurs Règlements Nature'!$A$5:$G$8,4,FALSE),""))</f>
        <v/>
      </c>
      <c r="L11" s="81" t="str">
        <f>IF($C11="","",IFERROR(VLOOKUP($C11,'Valeurs Règlements Nature'!$A$5:$G$8,5,FALSE),""))</f>
        <v/>
      </c>
      <c r="M11" s="81" t="str">
        <f>IF($C11="","",IFERROR(VLOOKUP($C11,'Valeurs Règlements Nature'!$A$5:$G$8,6,FALSE),""))</f>
        <v/>
      </c>
      <c r="N11" s="160" t="str">
        <f>IF($C11="","",IFERROR(VLOOKUP($C11,'Valeurs Règlements Nature'!$A$5:$G$8,7,FALSE),""))</f>
        <v/>
      </c>
      <c r="O11" s="45" t="str">
        <f t="shared" si="4"/>
        <v/>
      </c>
      <c r="P11" s="44" t="str">
        <f>IF(OR($C11="",NOT(ISNUMBER(F11))),"",AND(F11&gt;='Valeurs Règlements Nature'!$F$17,F11&lt;=L11))</f>
        <v/>
      </c>
      <c r="Q11" s="44" t="str">
        <f>IF(OR($C11="",NOT(ISNUMBER(G11))),"",AND(G11&gt;='Valeurs Règlements Nature'!$F$17,G11&lt;=M11))</f>
        <v/>
      </c>
      <c r="R11" s="46" t="str">
        <f>IF(OR($C11="",NOT(ISNUMBER(H11))),"",AND(H11&gt;='Valeurs Règlements Nature'!$F$17,H11&lt;=N11))</f>
        <v/>
      </c>
      <c r="S11" s="227" t="str">
        <f>IF(OR(NOT(ISNUMBER(E11)),NOT(ISNUMBER(F11))),"",IF(AND(E11&gt;=F11,ABS(E11-F11)&lt;='Valeurs Règlements Nature'!$F$16),"OK","Hors Fourchette"))</f>
        <v/>
      </c>
      <c r="T11" s="227"/>
      <c r="U11" s="227" t="str">
        <f>IF(OR(NOT(ISNUMBER(F11)),NOT(ISNUMBER(G11))),"",IF(AND(F11&gt;=G11,ABS(F11-G11)&lt;='Valeurs Règlements Nature'!$F$16),"OK","Hors Fourchette"))</f>
        <v/>
      </c>
      <c r="V11" s="227"/>
      <c r="W11" s="227" t="str">
        <f>IF(OR(NOT(ISNUMBER(G11)),NOT(ISNUMBER(H11))),"",IF(AND(G11&gt;=H11,ABS(G11-H11)&lt;='Valeurs Règlements Nature'!$F$16),"OK","Hors Fourchette"))</f>
        <v/>
      </c>
      <c r="X11" s="227"/>
      <c r="Y11" s="93"/>
      <c r="Z11" s="94"/>
      <c r="AA11" s="94"/>
      <c r="AB11" s="94"/>
      <c r="AC11" s="94"/>
      <c r="AD11" s="94"/>
      <c r="AE11" s="95"/>
      <c r="AF11" s="96" t="str">
        <f>IF(OR($C11="",$Y11=""),"",IF($Y11="Oui",IFERROR(VLOOKUP($C11,'Valeurs Règlements Nature'!$A$5:$Q$8,12,FALSE),""),IFERROR(VLOOKUP($C11,'Valeurs Règlements Nature'!$A$5:$Q$8,13,FALSE),"")))</f>
        <v/>
      </c>
      <c r="AG11" s="97" t="str">
        <f>IF(OR($C11="",$Y11="Oui",$Y11=""),"",IFERROR(VLOOKUP($C11,'Valeurs Règlements Nature'!$A$5:$Q$8,14,FALSE),""))</f>
        <v/>
      </c>
      <c r="AH11" s="97" t="str">
        <f>IF(OR($C11="",$Y11=""),"",IF($Y11="Oui",IFERROR(VLOOKUP($C11,'Valeurs Règlements Nature'!$A$5:$Q$8,15,FALSE),""),IFERROR(VLOOKUP($C11,'Valeurs Règlements Nature'!$A$5:$Q$8,16,FALSE),"")))</f>
        <v/>
      </c>
      <c r="AI11" s="98" t="str">
        <f>IF(OR($C11="",$Y11="Oui",$Y11=""),"",IFERROR(VLOOKUP($C11,'Valeurs Règlements Nature'!$A$5:$Q$8,17,FALSE),""))</f>
        <v/>
      </c>
      <c r="AJ11" s="90" t="str">
        <f t="shared" si="0"/>
        <v/>
      </c>
      <c r="AK11" s="91" t="str">
        <f t="shared" si="1"/>
        <v/>
      </c>
      <c r="AL11" s="92" t="str">
        <f t="shared" si="2"/>
        <v/>
      </c>
      <c r="AM11" s="111" t="str">
        <f t="shared" si="3"/>
        <v/>
      </c>
      <c r="AN11" s="112" t="str">
        <f>IF($C11="","",IFERROR(VLOOKUP($C11,'Valeurs Règlements Nature'!$A$5:$K$8,9,FALSE),""))</f>
        <v/>
      </c>
      <c r="AO11" s="113" t="str">
        <f>IF(OR($C11="",$Y11="",AJ11="",AK11="",AL11="",AM11=""),"",IF(AND(ABS(Z11-AF11)&lt;=$Y$3,IF($Y11="Oui",TRUE,ABS(AA11-AG11)&lt;=$Y$3),ABS(AB11-AH11)&lt;=$Y$3,IF($Y11="Oui",TRUE,ABS(AC11-AI11)&lt;=$Y$3),AL11&gt;=IFERROR(VLOOKUP($C11,'Valeurs Règlements Nature'!$A$5:$K$8,8,FALSE),0),AL11&lt;=AN11,AM11&gt;=IFERROR(VLOOKUP($C11,'Valeurs Règlements Nature'!$A$5:$K$8,10,FALSE),0),AM11&lt;=IFERROR(VLOOKUP($C11,'Valeurs Règlements Nature'!$A$5:$K$8,11,FALSE),999)),"CONFORME","NON CONFORME"))</f>
        <v/>
      </c>
      <c r="AP11"/>
    </row>
    <row r="12" spans="1:42" ht="20.75" customHeight="1">
      <c r="A12" s="149">
        <v>7</v>
      </c>
      <c r="B12" s="351" t="str">
        <f>IF(Organisateur!B12="","",Organisateur!B12)</f>
        <v/>
      </c>
      <c r="C12" s="352" t="str">
        <f>IF(Organisateur!C12="","",Organisateur!C12)</f>
        <v/>
      </c>
      <c r="D12" s="352"/>
      <c r="E12" s="353" t="str">
        <f>IF(Organisateur!E12="","",Organisateur!E12)</f>
        <v/>
      </c>
      <c r="F12" s="353" t="str">
        <f>IF(Organisateur!F12="","",Organisateur!F12)</f>
        <v/>
      </c>
      <c r="G12" s="353" t="str">
        <f>IF(Organisateur!G12="","",Organisateur!G12)</f>
        <v/>
      </c>
      <c r="H12" s="353" t="str">
        <f>IF(Organisateur!H12="","",Organisateur!H12)</f>
        <v/>
      </c>
      <c r="I12" s="19"/>
      <c r="J12" s="80" t="str">
        <f>IF($C12="","",IFERROR(VLOOKUP($C12,'Valeurs Règlements Nature'!$A$5:$G$8,3,FALSE),""))</f>
        <v/>
      </c>
      <c r="K12" s="81" t="str">
        <f>IF($C12="","",IFERROR(VLOOKUP($C12,'Valeurs Règlements Nature'!$A$5:$G$8,4,FALSE),""))</f>
        <v/>
      </c>
      <c r="L12" s="81" t="str">
        <f>IF($C12="","",IFERROR(VLOOKUP($C12,'Valeurs Règlements Nature'!$A$5:$G$8,5,FALSE),""))</f>
        <v/>
      </c>
      <c r="M12" s="81" t="str">
        <f>IF($C12="","",IFERROR(VLOOKUP($C12,'Valeurs Règlements Nature'!$A$5:$G$8,6,FALSE),""))</f>
        <v/>
      </c>
      <c r="N12" s="160" t="str">
        <f>IF($C12="","",IFERROR(VLOOKUP($C12,'Valeurs Règlements Nature'!$A$5:$G$8,7,FALSE),""))</f>
        <v/>
      </c>
      <c r="O12" s="45" t="str">
        <f t="shared" si="4"/>
        <v/>
      </c>
      <c r="P12" s="44" t="str">
        <f>IF(OR($C12="",NOT(ISNUMBER(F12))),"",AND(F12&gt;='Valeurs Règlements Nature'!$F$17,F12&lt;=L12))</f>
        <v/>
      </c>
      <c r="Q12" s="44" t="str">
        <f>IF(OR($C12="",NOT(ISNUMBER(G12))),"",AND(G12&gt;='Valeurs Règlements Nature'!$F$17,G12&lt;=M12))</f>
        <v/>
      </c>
      <c r="R12" s="46" t="str">
        <f>IF(OR($C12="",NOT(ISNUMBER(H12))),"",AND(H12&gt;='Valeurs Règlements Nature'!$F$17,H12&lt;=N12))</f>
        <v/>
      </c>
      <c r="S12" s="227" t="str">
        <f>IF(OR(NOT(ISNUMBER(E12)),NOT(ISNUMBER(F12))),"",IF(AND(E12&gt;=F12,ABS(E12-F12)&lt;='Valeurs Règlements Nature'!$F$16),"OK","Hors Fourchette"))</f>
        <v/>
      </c>
      <c r="T12" s="227"/>
      <c r="U12" s="227" t="str">
        <f>IF(OR(NOT(ISNUMBER(F12)),NOT(ISNUMBER(G12))),"",IF(AND(F12&gt;=G12,ABS(F12-G12)&lt;='Valeurs Règlements Nature'!$F$16),"OK","Hors Fourchette"))</f>
        <v/>
      </c>
      <c r="V12" s="227"/>
      <c r="W12" s="227" t="str">
        <f>IF(OR(NOT(ISNUMBER(G12)),NOT(ISNUMBER(H12))),"",IF(AND(G12&gt;=H12,ABS(G12-H12)&lt;='Valeurs Règlements Nature'!$F$16),"OK","Hors Fourchette"))</f>
        <v/>
      </c>
      <c r="X12" s="227"/>
      <c r="Y12" s="93"/>
      <c r="Z12" s="94"/>
      <c r="AA12" s="94"/>
      <c r="AB12" s="94"/>
      <c r="AC12" s="94"/>
      <c r="AD12" s="94"/>
      <c r="AE12" s="95"/>
      <c r="AF12" s="96" t="str">
        <f>IF(OR($C12="",$Y12=""),"",IF($Y12="Oui",IFERROR(VLOOKUP($C12,'Valeurs Règlements Nature'!$A$5:$Q$8,12,FALSE),""),IFERROR(VLOOKUP($C12,'Valeurs Règlements Nature'!$A$5:$Q$8,13,FALSE),"")))</f>
        <v/>
      </c>
      <c r="AG12" s="97" t="str">
        <f>IF(OR($C12="",$Y12="Oui",$Y12=""),"",IFERROR(VLOOKUP($C12,'Valeurs Règlements Nature'!$A$5:$Q$8,14,FALSE),""))</f>
        <v/>
      </c>
      <c r="AH12" s="97" t="str">
        <f>IF(OR($C12="",$Y12=""),"",IF($Y12="Oui",IFERROR(VLOOKUP($C12,'Valeurs Règlements Nature'!$A$5:$Q$8,15,FALSE),""),IFERROR(VLOOKUP($C12,'Valeurs Règlements Nature'!$A$5:$Q$8,16,FALSE),"")))</f>
        <v/>
      </c>
      <c r="AI12" s="98" t="str">
        <f>IF(OR($C12="",$Y12="Oui",$Y12=""),"",IFERROR(VLOOKUP($C12,'Valeurs Règlements Nature'!$A$5:$Q$8,17,FALSE),""))</f>
        <v/>
      </c>
      <c r="AJ12" s="90" t="str">
        <f t="shared" si="0"/>
        <v/>
      </c>
      <c r="AK12" s="91" t="str">
        <f t="shared" si="1"/>
        <v/>
      </c>
      <c r="AL12" s="92" t="str">
        <f t="shared" si="2"/>
        <v/>
      </c>
      <c r="AM12" s="111" t="str">
        <f t="shared" si="3"/>
        <v/>
      </c>
      <c r="AN12" s="112" t="str">
        <f>IF($C12="","",IFERROR(VLOOKUP($C12,'Valeurs Règlements Nature'!$A$5:$K$8,9,FALSE),""))</f>
        <v/>
      </c>
      <c r="AO12" s="113" t="str">
        <f>IF(OR($C12="",$Y12="",AJ12="",AK12="",AL12="",AM12=""),"",IF(AND(ABS(Z12-AF12)&lt;=$Y$3,IF($Y12="Oui",TRUE,ABS(AA12-AG12)&lt;=$Y$3),ABS(AB12-AH12)&lt;=$Y$3,IF($Y12="Oui",TRUE,ABS(AC12-AI12)&lt;=$Y$3),AL12&gt;=IFERROR(VLOOKUP($C12,'Valeurs Règlements Nature'!$A$5:$K$8,8,FALSE),0),AL12&lt;=AN12,AM12&gt;=IFERROR(VLOOKUP($C12,'Valeurs Règlements Nature'!$A$5:$K$8,10,FALSE),0),AM12&lt;=IFERROR(VLOOKUP($C12,'Valeurs Règlements Nature'!$A$5:$K$8,11,FALSE),999)),"CONFORME","NON CONFORME"))</f>
        <v/>
      </c>
      <c r="AP12"/>
    </row>
    <row r="13" spans="1:42" ht="20.75" customHeight="1">
      <c r="A13" s="149">
        <v>8</v>
      </c>
      <c r="B13" s="351" t="str">
        <f>IF(Organisateur!B13="","",Organisateur!B13)</f>
        <v/>
      </c>
      <c r="C13" s="352" t="str">
        <f>IF(Organisateur!C13="","",Organisateur!C13)</f>
        <v/>
      </c>
      <c r="D13" s="352"/>
      <c r="E13" s="353" t="str">
        <f>IF(Organisateur!E13="","",Organisateur!E13)</f>
        <v/>
      </c>
      <c r="F13" s="353" t="str">
        <f>IF(Organisateur!F13="","",Organisateur!F13)</f>
        <v/>
      </c>
      <c r="G13" s="353" t="str">
        <f>IF(Organisateur!G13="","",Organisateur!G13)</f>
        <v/>
      </c>
      <c r="H13" s="353" t="str">
        <f>IF(Organisateur!H13="","",Organisateur!H13)</f>
        <v/>
      </c>
      <c r="I13" s="19"/>
      <c r="J13" s="80" t="str">
        <f>IF($C13="","",IFERROR(VLOOKUP($C13,'Valeurs Règlements Nature'!$A$5:$G$8,3,FALSE),""))</f>
        <v/>
      </c>
      <c r="K13" s="81" t="str">
        <f>IF($C13="","",IFERROR(VLOOKUP($C13,'Valeurs Règlements Nature'!$A$5:$G$8,4,FALSE),""))</f>
        <v/>
      </c>
      <c r="L13" s="81" t="str">
        <f>IF($C13="","",IFERROR(VLOOKUP($C13,'Valeurs Règlements Nature'!$A$5:$G$8,5,FALSE),""))</f>
        <v/>
      </c>
      <c r="M13" s="81" t="str">
        <f>IF($C13="","",IFERROR(VLOOKUP($C13,'Valeurs Règlements Nature'!$A$5:$G$8,6,FALSE),""))</f>
        <v/>
      </c>
      <c r="N13" s="160" t="str">
        <f>IF($C13="","",IFERROR(VLOOKUP($C13,'Valeurs Règlements Nature'!$A$5:$G$8,7,FALSE),""))</f>
        <v/>
      </c>
      <c r="O13" s="45" t="str">
        <f t="shared" si="4"/>
        <v/>
      </c>
      <c r="P13" s="44" t="str">
        <f>IF(OR($C13="",NOT(ISNUMBER(F13))),"",AND(F13&gt;='Valeurs Règlements Nature'!$F$17,F13&lt;=L13))</f>
        <v/>
      </c>
      <c r="Q13" s="44" t="str">
        <f>IF(OR($C13="",NOT(ISNUMBER(G13))),"",AND(G13&gt;='Valeurs Règlements Nature'!$F$17,G13&lt;=M13))</f>
        <v/>
      </c>
      <c r="R13" s="46" t="str">
        <f>IF(OR($C13="",NOT(ISNUMBER(H13))),"",AND(H13&gt;='Valeurs Règlements Nature'!$F$17,H13&lt;=N13))</f>
        <v/>
      </c>
      <c r="S13" s="227" t="str">
        <f>IF(OR(NOT(ISNUMBER(E13)),NOT(ISNUMBER(F13))),"",IF(AND(E13&gt;=F13,ABS(E13-F13)&lt;='Valeurs Règlements Nature'!$F$16),"OK","Hors Fourchette"))</f>
        <v/>
      </c>
      <c r="T13" s="227"/>
      <c r="U13" s="227" t="str">
        <f>IF(OR(NOT(ISNUMBER(F13)),NOT(ISNUMBER(G13))),"",IF(AND(F13&gt;=G13,ABS(F13-G13)&lt;='Valeurs Règlements Nature'!$F$16),"OK","Hors Fourchette"))</f>
        <v/>
      </c>
      <c r="V13" s="227"/>
      <c r="W13" s="227" t="str">
        <f>IF(OR(NOT(ISNUMBER(G13)),NOT(ISNUMBER(H13))),"",IF(AND(G13&gt;=H13,ABS(G13-H13)&lt;='Valeurs Règlements Nature'!$F$16),"OK","Hors Fourchette"))</f>
        <v/>
      </c>
      <c r="X13" s="227"/>
      <c r="Y13" s="93"/>
      <c r="Z13" s="94"/>
      <c r="AA13" s="94"/>
      <c r="AB13" s="94"/>
      <c r="AC13" s="94"/>
      <c r="AD13" s="94"/>
      <c r="AE13" s="95"/>
      <c r="AF13" s="96" t="str">
        <f>IF(OR($C13="",$Y13=""),"",IF($Y13="Oui",IFERROR(VLOOKUP($C13,'Valeurs Règlements Nature'!$A$5:$Q$8,12,FALSE),""),IFERROR(VLOOKUP($C13,'Valeurs Règlements Nature'!$A$5:$Q$8,13,FALSE),"")))</f>
        <v/>
      </c>
      <c r="AG13" s="97" t="str">
        <f>IF(OR($C13="",$Y13="Oui",$Y13=""),"",IFERROR(VLOOKUP($C13,'Valeurs Règlements Nature'!$A$5:$Q$8,14,FALSE),""))</f>
        <v/>
      </c>
      <c r="AH13" s="97" t="str">
        <f>IF(OR($C13="",$Y13=""),"",IF($Y13="Oui",IFERROR(VLOOKUP($C13,'Valeurs Règlements Nature'!$A$5:$Q$8,15,FALSE),""),IFERROR(VLOOKUP($C13,'Valeurs Règlements Nature'!$A$5:$Q$8,16,FALSE),"")))</f>
        <v/>
      </c>
      <c r="AI13" s="98" t="str">
        <f>IF(OR($C13="",$Y13="Oui",$Y13=""),"",IFERROR(VLOOKUP($C13,'Valeurs Règlements Nature'!$A$5:$Q$8,17,FALSE),""))</f>
        <v/>
      </c>
      <c r="AJ13" s="90" t="str">
        <f t="shared" si="0"/>
        <v/>
      </c>
      <c r="AK13" s="91" t="str">
        <f t="shared" si="1"/>
        <v/>
      </c>
      <c r="AL13" s="92" t="str">
        <f t="shared" si="2"/>
        <v/>
      </c>
      <c r="AM13" s="111" t="str">
        <f t="shared" si="3"/>
        <v/>
      </c>
      <c r="AN13" s="112" t="str">
        <f>IF($C13="","",IFERROR(VLOOKUP($C13,'Valeurs Règlements Nature'!$A$5:$K$8,9,FALSE),""))</f>
        <v/>
      </c>
      <c r="AO13" s="113" t="str">
        <f>IF(OR($C13="",$Y13="",AJ13="",AK13="",AL13="",AM13=""),"",IF(AND(ABS(Z13-AF13)&lt;=$Y$3,IF($Y13="Oui",TRUE,ABS(AA13-AG13)&lt;=$Y$3),ABS(AB13-AH13)&lt;=$Y$3,IF($Y13="Oui",TRUE,ABS(AC13-AI13)&lt;=$Y$3),AL13&gt;=IFERROR(VLOOKUP($C13,'Valeurs Règlements Nature'!$A$5:$K$8,8,FALSE),0),AL13&lt;=AN13,AM13&gt;=IFERROR(VLOOKUP($C13,'Valeurs Règlements Nature'!$A$5:$K$8,10,FALSE),0),AM13&lt;=IFERROR(VLOOKUP($C13,'Valeurs Règlements Nature'!$A$5:$K$8,11,FALSE),999)),"CONFORME","NON CONFORME"))</f>
        <v/>
      </c>
      <c r="AP13"/>
    </row>
    <row r="14" spans="1:42" ht="20.75" customHeight="1">
      <c r="A14" s="149">
        <v>9</v>
      </c>
      <c r="B14" s="351" t="str">
        <f>IF(Organisateur!B14="","",Organisateur!B14)</f>
        <v/>
      </c>
      <c r="C14" s="352" t="str">
        <f>IF(Organisateur!C14="","",Organisateur!C14)</f>
        <v/>
      </c>
      <c r="D14" s="352"/>
      <c r="E14" s="353" t="str">
        <f>IF(Organisateur!E14="","",Organisateur!E14)</f>
        <v/>
      </c>
      <c r="F14" s="353" t="str">
        <f>IF(Organisateur!F14="","",Organisateur!F14)</f>
        <v/>
      </c>
      <c r="G14" s="353" t="str">
        <f>IF(Organisateur!G14="","",Organisateur!G14)</f>
        <v/>
      </c>
      <c r="H14" s="353" t="str">
        <f>IF(Organisateur!H14="","",Organisateur!H14)</f>
        <v/>
      </c>
      <c r="I14" s="19"/>
      <c r="J14" s="80" t="str">
        <f>IF($C14="","",IFERROR(VLOOKUP($C14,'Valeurs Règlements Nature'!$A$5:$G$8,3,FALSE),""))</f>
        <v/>
      </c>
      <c r="K14" s="81" t="str">
        <f>IF($C14="","",IFERROR(VLOOKUP($C14,'Valeurs Règlements Nature'!$A$5:$G$8,4,FALSE),""))</f>
        <v/>
      </c>
      <c r="L14" s="81" t="str">
        <f>IF($C14="","",IFERROR(VLOOKUP($C14,'Valeurs Règlements Nature'!$A$5:$G$8,5,FALSE),""))</f>
        <v/>
      </c>
      <c r="M14" s="81" t="str">
        <f>IF($C14="","",IFERROR(VLOOKUP($C14,'Valeurs Règlements Nature'!$A$5:$G$8,6,FALSE),""))</f>
        <v/>
      </c>
      <c r="N14" s="160" t="str">
        <f>IF($C14="","",IFERROR(VLOOKUP($C14,'Valeurs Règlements Nature'!$A$5:$G$8,7,FALSE),""))</f>
        <v/>
      </c>
      <c r="O14" s="45" t="str">
        <f t="shared" si="4"/>
        <v/>
      </c>
      <c r="P14" s="44" t="str">
        <f>IF(OR($C14="",NOT(ISNUMBER(F14))),"",AND(F14&gt;='Valeurs Règlements Nature'!$F$17,F14&lt;=L14))</f>
        <v/>
      </c>
      <c r="Q14" s="44" t="str">
        <f>IF(OR($C14="",NOT(ISNUMBER(G14))),"",AND(G14&gt;='Valeurs Règlements Nature'!$F$17,G14&lt;=M14))</f>
        <v/>
      </c>
      <c r="R14" s="46" t="str">
        <f>IF(OR($C14="",NOT(ISNUMBER(H14))),"",AND(H14&gt;='Valeurs Règlements Nature'!$F$17,H14&lt;=N14))</f>
        <v/>
      </c>
      <c r="S14" s="227" t="str">
        <f>IF(OR(NOT(ISNUMBER(E14)),NOT(ISNUMBER(F14))),"",IF(AND(E14&gt;=F14,ABS(E14-F14)&lt;='Valeurs Règlements Nature'!$F$16),"OK","Hors Fourchette"))</f>
        <v/>
      </c>
      <c r="T14" s="227"/>
      <c r="U14" s="227" t="str">
        <f>IF(OR(NOT(ISNUMBER(F14)),NOT(ISNUMBER(G14))),"",IF(AND(F14&gt;=G14,ABS(F14-G14)&lt;='Valeurs Règlements Nature'!$F$16),"OK","Hors Fourchette"))</f>
        <v/>
      </c>
      <c r="V14" s="227"/>
      <c r="W14" s="227" t="str">
        <f>IF(OR(NOT(ISNUMBER(G14)),NOT(ISNUMBER(H14))),"",IF(AND(G14&gt;=H14,ABS(G14-H14)&lt;='Valeurs Règlements Nature'!$F$16),"OK","Hors Fourchette"))</f>
        <v/>
      </c>
      <c r="X14" s="227"/>
      <c r="Y14" s="93"/>
      <c r="Z14" s="94"/>
      <c r="AA14" s="94"/>
      <c r="AB14" s="94"/>
      <c r="AC14" s="94"/>
      <c r="AD14" s="94"/>
      <c r="AE14" s="95"/>
      <c r="AF14" s="96" t="str">
        <f>IF(OR($C14="",$Y14=""),"",IF($Y14="Oui",IFERROR(VLOOKUP($C14,'Valeurs Règlements Nature'!$A$5:$Q$8,12,FALSE),""),IFERROR(VLOOKUP($C14,'Valeurs Règlements Nature'!$A$5:$Q$8,13,FALSE),"")))</f>
        <v/>
      </c>
      <c r="AG14" s="97" t="str">
        <f>IF(OR($C14="",$Y14="Oui",$Y14=""),"",IFERROR(VLOOKUP($C14,'Valeurs Règlements Nature'!$A$5:$Q$8,14,FALSE),""))</f>
        <v/>
      </c>
      <c r="AH14" s="97" t="str">
        <f>IF(OR($C14="",$Y14=""),"",IF($Y14="Oui",IFERROR(VLOOKUP($C14,'Valeurs Règlements Nature'!$A$5:$Q$8,15,FALSE),""),IFERROR(VLOOKUP($C14,'Valeurs Règlements Nature'!$A$5:$Q$8,16,FALSE),"")))</f>
        <v/>
      </c>
      <c r="AI14" s="98" t="str">
        <f>IF(OR($C14="",$Y14="Oui",$Y14=""),"",IFERROR(VLOOKUP($C14,'Valeurs Règlements Nature'!$A$5:$Q$8,17,FALSE),""))</f>
        <v/>
      </c>
      <c r="AJ14" s="90" t="str">
        <f t="shared" si="0"/>
        <v/>
      </c>
      <c r="AK14" s="91" t="str">
        <f t="shared" si="1"/>
        <v/>
      </c>
      <c r="AL14" s="92" t="str">
        <f t="shared" si="2"/>
        <v/>
      </c>
      <c r="AM14" s="111" t="str">
        <f t="shared" si="3"/>
        <v/>
      </c>
      <c r="AN14" s="112" t="str">
        <f>IF($C14="","",IFERROR(VLOOKUP($C14,'Valeurs Règlements Nature'!$A$5:$K$8,9,FALSE),""))</f>
        <v/>
      </c>
      <c r="AO14" s="113" t="str">
        <f>IF(OR($C14="",$Y14="",AJ14="",AK14="",AL14="",AM14=""),"",IF(AND(ABS(Z14-AF14)&lt;=$Y$3,IF($Y14="Oui",TRUE,ABS(AA14-AG14)&lt;=$Y$3),ABS(AB14-AH14)&lt;=$Y$3,IF($Y14="Oui",TRUE,ABS(AC14-AI14)&lt;=$Y$3),AL14&gt;=IFERROR(VLOOKUP($C14,'Valeurs Règlements Nature'!$A$5:$K$8,8,FALSE),0),AL14&lt;=AN14,AM14&gt;=IFERROR(VLOOKUP($C14,'Valeurs Règlements Nature'!$A$5:$K$8,10,FALSE),0),AM14&lt;=IFERROR(VLOOKUP($C14,'Valeurs Règlements Nature'!$A$5:$K$8,11,FALSE),999)),"CONFORME","NON CONFORME"))</f>
        <v/>
      </c>
      <c r="AP14"/>
    </row>
    <row r="15" spans="1:42" ht="20.75" customHeight="1">
      <c r="A15" s="149">
        <v>10</v>
      </c>
      <c r="B15" s="351" t="str">
        <f>IF(Organisateur!B15="","",Organisateur!B15)</f>
        <v/>
      </c>
      <c r="C15" s="352" t="str">
        <f>IF(Organisateur!C15="","",Organisateur!C15)</f>
        <v/>
      </c>
      <c r="D15" s="352"/>
      <c r="E15" s="353" t="str">
        <f>IF(Organisateur!E15="","",Organisateur!E15)</f>
        <v/>
      </c>
      <c r="F15" s="353" t="str">
        <f>IF(Organisateur!F15="","",Organisateur!F15)</f>
        <v/>
      </c>
      <c r="G15" s="353" t="str">
        <f>IF(Organisateur!G15="","",Organisateur!G15)</f>
        <v/>
      </c>
      <c r="H15" s="353" t="str">
        <f>IF(Organisateur!H15="","",Organisateur!H15)</f>
        <v/>
      </c>
      <c r="I15" s="19"/>
      <c r="J15" s="80" t="str">
        <f>IF($C15="","",IFERROR(VLOOKUP($C15,'Valeurs Règlements Nature'!$A$5:$G$8,3,FALSE),""))</f>
        <v/>
      </c>
      <c r="K15" s="81" t="str">
        <f>IF($C15="","",IFERROR(VLOOKUP($C15,'Valeurs Règlements Nature'!$A$5:$G$8,4,FALSE),""))</f>
        <v/>
      </c>
      <c r="L15" s="81" t="str">
        <f>IF($C15="","",IFERROR(VLOOKUP($C15,'Valeurs Règlements Nature'!$A$5:$G$8,5,FALSE),""))</f>
        <v/>
      </c>
      <c r="M15" s="81" t="str">
        <f>IF($C15="","",IFERROR(VLOOKUP($C15,'Valeurs Règlements Nature'!$A$5:$G$8,6,FALSE),""))</f>
        <v/>
      </c>
      <c r="N15" s="160" t="str">
        <f>IF($C15="","",IFERROR(VLOOKUP($C15,'Valeurs Règlements Nature'!$A$5:$G$8,7,FALSE),""))</f>
        <v/>
      </c>
      <c r="O15" s="45" t="str">
        <f t="shared" si="4"/>
        <v/>
      </c>
      <c r="P15" s="44" t="str">
        <f>IF(OR($C15="",NOT(ISNUMBER(F15))),"",AND(F15&gt;='Valeurs Règlements Nature'!$F$17,F15&lt;=L15))</f>
        <v/>
      </c>
      <c r="Q15" s="44" t="str">
        <f>IF(OR($C15="",NOT(ISNUMBER(G15))),"",AND(G15&gt;='Valeurs Règlements Nature'!$F$17,G15&lt;=M15))</f>
        <v/>
      </c>
      <c r="R15" s="46" t="str">
        <f>IF(OR($C15="",NOT(ISNUMBER(H15))),"",AND(H15&gt;='Valeurs Règlements Nature'!$F$17,H15&lt;=N15))</f>
        <v/>
      </c>
      <c r="S15" s="227" t="str">
        <f>IF(OR(NOT(ISNUMBER(E15)),NOT(ISNUMBER(F15))),"",IF(AND(E15&gt;=F15,ABS(E15-F15)&lt;='Valeurs Règlements Nature'!$F$16),"OK","Hors Fourchette"))</f>
        <v/>
      </c>
      <c r="T15" s="227"/>
      <c r="U15" s="227" t="str">
        <f>IF(OR(NOT(ISNUMBER(F15)),NOT(ISNUMBER(G15))),"",IF(AND(F15&gt;=G15,ABS(F15-G15)&lt;='Valeurs Règlements Nature'!$F$16),"OK","Hors Fourchette"))</f>
        <v/>
      </c>
      <c r="V15" s="227"/>
      <c r="W15" s="227" t="str">
        <f>IF(OR(NOT(ISNUMBER(G15)),NOT(ISNUMBER(H15))),"",IF(AND(G15&gt;=H15,ABS(G15-H15)&lt;='Valeurs Règlements Nature'!$F$16),"OK","Hors Fourchette"))</f>
        <v/>
      </c>
      <c r="X15" s="227"/>
      <c r="Y15" s="93"/>
      <c r="Z15" s="94"/>
      <c r="AA15" s="94"/>
      <c r="AB15" s="94"/>
      <c r="AC15" s="94"/>
      <c r="AD15" s="94"/>
      <c r="AE15" s="95"/>
      <c r="AF15" s="96" t="str">
        <f>IF(OR($C15="",$Y15=""),"",IF($Y15="Oui",IFERROR(VLOOKUP($C15,'Valeurs Règlements Nature'!$A$5:$Q$8,12,FALSE),""),IFERROR(VLOOKUP($C15,'Valeurs Règlements Nature'!$A$5:$Q$8,13,FALSE),"")))</f>
        <v/>
      </c>
      <c r="AG15" s="97" t="str">
        <f>IF(OR($C15="",$Y15="Oui",$Y15=""),"",IFERROR(VLOOKUP($C15,'Valeurs Règlements Nature'!$A$5:$Q$8,14,FALSE),""))</f>
        <v/>
      </c>
      <c r="AH15" s="97" t="str">
        <f>IF(OR($C15="",$Y15=""),"",IF($Y15="Oui",IFERROR(VLOOKUP($C15,'Valeurs Règlements Nature'!$A$5:$Q$8,15,FALSE),""),IFERROR(VLOOKUP($C15,'Valeurs Règlements Nature'!$A$5:$Q$8,16,FALSE),"")))</f>
        <v/>
      </c>
      <c r="AI15" s="98" t="str">
        <f>IF(OR($C15="",$Y15="Oui",$Y15=""),"",IFERROR(VLOOKUP($C15,'Valeurs Règlements Nature'!$A$5:$Q$8,17,FALSE),""))</f>
        <v/>
      </c>
      <c r="AJ15" s="90" t="str">
        <f t="shared" si="0"/>
        <v/>
      </c>
      <c r="AK15" s="91" t="str">
        <f t="shared" si="1"/>
        <v/>
      </c>
      <c r="AL15" s="92" t="str">
        <f t="shared" si="2"/>
        <v/>
      </c>
      <c r="AM15" s="111" t="str">
        <f t="shared" si="3"/>
        <v/>
      </c>
      <c r="AN15" s="112" t="str">
        <f>IF($C15="","",IFERROR(VLOOKUP($C15,'Valeurs Règlements Nature'!$A$5:$K$8,9,FALSE),""))</f>
        <v/>
      </c>
      <c r="AO15" s="113" t="str">
        <f>IF(OR($C15="",$Y15="",AJ15="",AK15="",AL15="",AM15=""),"",IF(AND(ABS(Z15-AF15)&lt;=$Y$3,IF($Y15="Oui",TRUE,ABS(AA15-AG15)&lt;=$Y$3),ABS(AB15-AH15)&lt;=$Y$3,IF($Y15="Oui",TRUE,ABS(AC15-AI15)&lt;=$Y$3),AL15&gt;=IFERROR(VLOOKUP($C15,'Valeurs Règlements Nature'!$A$5:$K$8,8,FALSE),0),AL15&lt;=AN15,AM15&gt;=IFERROR(VLOOKUP($C15,'Valeurs Règlements Nature'!$A$5:$K$8,10,FALSE),0),AM15&lt;=IFERROR(VLOOKUP($C15,'Valeurs Règlements Nature'!$A$5:$K$8,11,FALSE),999)),"CONFORME","NON CONFORME"))</f>
        <v/>
      </c>
      <c r="AP15"/>
    </row>
    <row r="16" spans="1:42" ht="20.75" customHeight="1">
      <c r="A16" s="149">
        <v>11</v>
      </c>
      <c r="B16" s="351" t="str">
        <f>IF(Organisateur!B16="","",Organisateur!B16)</f>
        <v/>
      </c>
      <c r="C16" s="352" t="str">
        <f>IF(Organisateur!C16="","",Organisateur!C16)</f>
        <v/>
      </c>
      <c r="D16" s="352"/>
      <c r="E16" s="353" t="str">
        <f>IF(Organisateur!E16="","",Organisateur!E16)</f>
        <v/>
      </c>
      <c r="F16" s="353" t="str">
        <f>IF(Organisateur!F16="","",Organisateur!F16)</f>
        <v/>
      </c>
      <c r="G16" s="353" t="str">
        <f>IF(Organisateur!G16="","",Organisateur!G16)</f>
        <v/>
      </c>
      <c r="H16" s="353" t="str">
        <f>IF(Organisateur!H16="","",Organisateur!H16)</f>
        <v/>
      </c>
      <c r="I16" s="19"/>
      <c r="J16" s="80" t="str">
        <f>IF($C16="","",IFERROR(VLOOKUP($C16,'Valeurs Règlements Nature'!$A$5:$G$8,3,FALSE),""))</f>
        <v/>
      </c>
      <c r="K16" s="81" t="str">
        <f>IF($C16="","",IFERROR(VLOOKUP($C16,'Valeurs Règlements Nature'!$A$5:$G$8,4,FALSE),""))</f>
        <v/>
      </c>
      <c r="L16" s="81" t="str">
        <f>IF($C16="","",IFERROR(VLOOKUP($C16,'Valeurs Règlements Nature'!$A$5:$G$8,5,FALSE),""))</f>
        <v/>
      </c>
      <c r="M16" s="81" t="str">
        <f>IF($C16="","",IFERROR(VLOOKUP($C16,'Valeurs Règlements Nature'!$A$5:$G$8,6,FALSE),""))</f>
        <v/>
      </c>
      <c r="N16" s="160" t="str">
        <f>IF($C16="","",IFERROR(VLOOKUP($C16,'Valeurs Règlements Nature'!$A$5:$G$8,7,FALSE),""))</f>
        <v/>
      </c>
      <c r="O16" s="45" t="str">
        <f t="shared" si="4"/>
        <v/>
      </c>
      <c r="P16" s="44" t="str">
        <f>IF(OR($C16="",NOT(ISNUMBER(F16))),"",AND(F16&gt;='Valeurs Règlements Nature'!$F$17,F16&lt;=L16))</f>
        <v/>
      </c>
      <c r="Q16" s="44" t="str">
        <f>IF(OR($C16="",NOT(ISNUMBER(G16))),"",AND(G16&gt;='Valeurs Règlements Nature'!$F$17,G16&lt;=M16))</f>
        <v/>
      </c>
      <c r="R16" s="46" t="str">
        <f>IF(OR($C16="",NOT(ISNUMBER(H16))),"",AND(H16&gt;='Valeurs Règlements Nature'!$F$17,H16&lt;=N16))</f>
        <v/>
      </c>
      <c r="S16" s="227" t="str">
        <f>IF(OR(NOT(ISNUMBER(E16)),NOT(ISNUMBER(F16))),"",IF(AND(E16&gt;=F16,ABS(E16-F16)&lt;='Valeurs Règlements Nature'!$F$16),"OK","Hors Fourchette"))</f>
        <v/>
      </c>
      <c r="T16" s="227"/>
      <c r="U16" s="227" t="str">
        <f>IF(OR(NOT(ISNUMBER(F16)),NOT(ISNUMBER(G16))),"",IF(AND(F16&gt;=G16,ABS(F16-G16)&lt;='Valeurs Règlements Nature'!$F$16),"OK","Hors Fourchette"))</f>
        <v/>
      </c>
      <c r="V16" s="227"/>
      <c r="W16" s="227" t="str">
        <f>IF(OR(NOT(ISNUMBER(G16)),NOT(ISNUMBER(H16))),"",IF(AND(G16&gt;=H16,ABS(G16-H16)&lt;='Valeurs Règlements Nature'!$F$16),"OK","Hors Fourchette"))</f>
        <v/>
      </c>
      <c r="X16" s="227"/>
      <c r="Y16" s="93"/>
      <c r="Z16" s="94"/>
      <c r="AA16" s="94"/>
      <c r="AB16" s="94"/>
      <c r="AC16" s="94"/>
      <c r="AD16" s="94"/>
      <c r="AE16" s="95"/>
      <c r="AF16" s="96" t="str">
        <f>IF(OR($C16="",$Y16=""),"",IF($Y16="Oui",IFERROR(VLOOKUP($C16,'Valeurs Règlements Nature'!$A$5:$Q$8,12,FALSE),""),IFERROR(VLOOKUP($C16,'Valeurs Règlements Nature'!$A$5:$Q$8,13,FALSE),"")))</f>
        <v/>
      </c>
      <c r="AG16" s="97" t="str">
        <f>IF(OR($C16="",$Y16="Oui",$Y16=""),"",IFERROR(VLOOKUP($C16,'Valeurs Règlements Nature'!$A$5:$Q$8,14,FALSE),""))</f>
        <v/>
      </c>
      <c r="AH16" s="97" t="str">
        <f>IF(OR($C16="",$Y16=""),"",IF($Y16="Oui",IFERROR(VLOOKUP($C16,'Valeurs Règlements Nature'!$A$5:$Q$8,15,FALSE),""),IFERROR(VLOOKUP($C16,'Valeurs Règlements Nature'!$A$5:$Q$8,16,FALSE),"")))</f>
        <v/>
      </c>
      <c r="AI16" s="98" t="str">
        <f>IF(OR($C16="",$Y16="Oui",$Y16=""),"",IFERROR(VLOOKUP($C16,'Valeurs Règlements Nature'!$A$5:$Q$8,17,FALSE),""))</f>
        <v/>
      </c>
      <c r="AJ16" s="90" t="str">
        <f t="shared" si="0"/>
        <v/>
      </c>
      <c r="AK16" s="91" t="str">
        <f t="shared" si="1"/>
        <v/>
      </c>
      <c r="AL16" s="92" t="str">
        <f t="shared" si="2"/>
        <v/>
      </c>
      <c r="AM16" s="111" t="str">
        <f t="shared" si="3"/>
        <v/>
      </c>
      <c r="AN16" s="112" t="str">
        <f>IF($C16="","",IFERROR(VLOOKUP($C16,'Valeurs Règlements Nature'!$A$5:$K$8,9,FALSE),""))</f>
        <v/>
      </c>
      <c r="AO16" s="113" t="str">
        <f>IF(OR($C16="",$Y16="",AJ16="",AK16="",AL16="",AM16=""),"",IF(AND(ABS(Z16-AF16)&lt;=$Y$3,IF($Y16="Oui",TRUE,ABS(AA16-AG16)&lt;=$Y$3),ABS(AB16-AH16)&lt;=$Y$3,IF($Y16="Oui",TRUE,ABS(AC16-AI16)&lt;=$Y$3),AL16&gt;=IFERROR(VLOOKUP($C16,'Valeurs Règlements Nature'!$A$5:$K$8,8,FALSE),0),AL16&lt;=AN16,AM16&gt;=IFERROR(VLOOKUP($C16,'Valeurs Règlements Nature'!$A$5:$K$8,10,FALSE),0),AM16&lt;=IFERROR(VLOOKUP($C16,'Valeurs Règlements Nature'!$A$5:$K$8,11,FALSE),999)),"CONFORME","NON CONFORME"))</f>
        <v/>
      </c>
      <c r="AP16"/>
    </row>
    <row r="17" spans="1:211" ht="20.75" customHeight="1">
      <c r="A17" s="149">
        <v>12</v>
      </c>
      <c r="B17" s="351" t="str">
        <f>IF(Organisateur!B17="","",Organisateur!B17)</f>
        <v/>
      </c>
      <c r="C17" s="352" t="str">
        <f>IF(Organisateur!C17="","",Organisateur!C17)</f>
        <v/>
      </c>
      <c r="D17" s="352"/>
      <c r="E17" s="353" t="str">
        <f>IF(Organisateur!E17="","",Organisateur!E17)</f>
        <v/>
      </c>
      <c r="F17" s="353" t="str">
        <f>IF(Organisateur!F17="","",Organisateur!F17)</f>
        <v/>
      </c>
      <c r="G17" s="353" t="str">
        <f>IF(Organisateur!G17="","",Organisateur!G17)</f>
        <v/>
      </c>
      <c r="H17" s="353" t="str">
        <f>IF(Organisateur!H17="","",Organisateur!H17)</f>
        <v/>
      </c>
      <c r="I17" s="19"/>
      <c r="J17" s="80" t="str">
        <f>IF($C17="","",IFERROR(VLOOKUP($C17,'Valeurs Règlements Nature'!$A$5:$G$8,3,FALSE),""))</f>
        <v/>
      </c>
      <c r="K17" s="81" t="str">
        <f>IF($C17="","",IFERROR(VLOOKUP($C17,'Valeurs Règlements Nature'!$A$5:$G$8,4,FALSE),""))</f>
        <v/>
      </c>
      <c r="L17" s="81" t="str">
        <f>IF($C17="","",IFERROR(VLOOKUP($C17,'Valeurs Règlements Nature'!$A$5:$G$8,5,FALSE),""))</f>
        <v/>
      </c>
      <c r="M17" s="81" t="str">
        <f>IF($C17="","",IFERROR(VLOOKUP($C17,'Valeurs Règlements Nature'!$A$5:$G$8,6,FALSE),""))</f>
        <v/>
      </c>
      <c r="N17" s="160" t="str">
        <f>IF($C17="","",IFERROR(VLOOKUP($C17,'Valeurs Règlements Nature'!$A$5:$G$8,7,FALSE),""))</f>
        <v/>
      </c>
      <c r="O17" s="45" t="str">
        <f t="shared" si="4"/>
        <v/>
      </c>
      <c r="P17" s="44" t="str">
        <f>IF(OR($C17="",NOT(ISNUMBER(F17))),"",AND(F17&gt;='Valeurs Règlements Nature'!$F$17,F17&lt;=L17))</f>
        <v/>
      </c>
      <c r="Q17" s="44" t="str">
        <f>IF(OR($C17="",NOT(ISNUMBER(G17))),"",AND(G17&gt;='Valeurs Règlements Nature'!$F$17,G17&lt;=M17))</f>
        <v/>
      </c>
      <c r="R17" s="46" t="str">
        <f>IF(OR($C17="",NOT(ISNUMBER(H17))),"",AND(H17&gt;='Valeurs Règlements Nature'!$F$17,H17&lt;=N17))</f>
        <v/>
      </c>
      <c r="S17" s="227" t="str">
        <f>IF(OR(NOT(ISNUMBER(E17)),NOT(ISNUMBER(F17))),"",IF(AND(E17&gt;=F17,ABS(E17-F17)&lt;='Valeurs Règlements Nature'!$F$16),"OK","Hors Fourchette"))</f>
        <v/>
      </c>
      <c r="T17" s="227"/>
      <c r="U17" s="227" t="str">
        <f>IF(OR(NOT(ISNUMBER(F17)),NOT(ISNUMBER(G17))),"",IF(AND(F17&gt;=G17,ABS(F17-G17)&lt;='Valeurs Règlements Nature'!$F$16),"OK","Hors Fourchette"))</f>
        <v/>
      </c>
      <c r="V17" s="227"/>
      <c r="W17" s="227" t="str">
        <f>IF(OR(NOT(ISNUMBER(G17)),NOT(ISNUMBER(H17))),"",IF(AND(G17&gt;=H17,ABS(G17-H17)&lt;='Valeurs Règlements Nature'!$F$16),"OK","Hors Fourchette"))</f>
        <v/>
      </c>
      <c r="X17" s="227"/>
      <c r="Y17" s="93"/>
      <c r="Z17" s="94"/>
      <c r="AA17" s="94"/>
      <c r="AB17" s="94"/>
      <c r="AC17" s="94"/>
      <c r="AD17" s="94"/>
      <c r="AE17" s="95"/>
      <c r="AF17" s="96" t="str">
        <f>IF(OR($C17="",$Y17=""),"",IF($Y17="Oui",IFERROR(VLOOKUP($C17,'Valeurs Règlements Nature'!$A$5:$Q$8,12,FALSE),""),IFERROR(VLOOKUP($C17,'Valeurs Règlements Nature'!$A$5:$Q$8,13,FALSE),"")))</f>
        <v/>
      </c>
      <c r="AG17" s="97" t="str">
        <f>IF(OR($C17="",$Y17="Oui",$Y17=""),"",IFERROR(VLOOKUP($C17,'Valeurs Règlements Nature'!$A$5:$Q$8,14,FALSE),""))</f>
        <v/>
      </c>
      <c r="AH17" s="97" t="str">
        <f>IF(OR($C17="",$Y17=""),"",IF($Y17="Oui",IFERROR(VLOOKUP($C17,'Valeurs Règlements Nature'!$A$5:$Q$8,15,FALSE),""),IFERROR(VLOOKUP($C17,'Valeurs Règlements Nature'!$A$5:$Q$8,16,FALSE),"")))</f>
        <v/>
      </c>
      <c r="AI17" s="98" t="str">
        <f>IF(OR($C17="",$Y17="Oui",$Y17=""),"",IFERROR(VLOOKUP($C17,'Valeurs Règlements Nature'!$A$5:$Q$8,17,FALSE),""))</f>
        <v/>
      </c>
      <c r="AJ17" s="90" t="str">
        <f t="shared" si="0"/>
        <v/>
      </c>
      <c r="AK17" s="91" t="str">
        <f t="shared" si="1"/>
        <v/>
      </c>
      <c r="AL17" s="92" t="str">
        <f t="shared" si="2"/>
        <v/>
      </c>
      <c r="AM17" s="111" t="str">
        <f t="shared" si="3"/>
        <v/>
      </c>
      <c r="AN17" s="112" t="str">
        <f>IF($C17="","",IFERROR(VLOOKUP($C17,'Valeurs Règlements Nature'!$A$5:$K$8,9,FALSE),""))</f>
        <v/>
      </c>
      <c r="AO17" s="113" t="str">
        <f>IF(OR($C17="",$Y17="",AJ17="",AK17="",AL17="",AM17=""),"",IF(AND(ABS(Z17-AF17)&lt;=$Y$3,IF($Y17="Oui",TRUE,ABS(AA17-AG17)&lt;=$Y$3),ABS(AB17-AH17)&lt;=$Y$3,IF($Y17="Oui",TRUE,ABS(AC17-AI17)&lt;=$Y$3),AL17&gt;=IFERROR(VLOOKUP($C17,'Valeurs Règlements Nature'!$A$5:$K$8,8,FALSE),0),AL17&lt;=AN17,AM17&gt;=IFERROR(VLOOKUP($C17,'Valeurs Règlements Nature'!$A$5:$K$8,10,FALSE),0),AM17&lt;=IFERROR(VLOOKUP($C17,'Valeurs Règlements Nature'!$A$5:$K$8,11,FALSE),999)),"CONFORME","NON CONFORME"))</f>
        <v/>
      </c>
      <c r="AP17"/>
    </row>
    <row r="18" spans="1:211" ht="20.75" customHeight="1">
      <c r="A18" s="149">
        <v>13</v>
      </c>
      <c r="B18" s="351" t="str">
        <f>IF(Organisateur!B18="","",Organisateur!B18)</f>
        <v/>
      </c>
      <c r="C18" s="352" t="str">
        <f>IF(Organisateur!C18="","",Organisateur!C18)</f>
        <v/>
      </c>
      <c r="D18" s="352"/>
      <c r="E18" s="353" t="str">
        <f>IF(Organisateur!E18="","",Organisateur!E18)</f>
        <v/>
      </c>
      <c r="F18" s="353" t="str">
        <f>IF(Organisateur!F18="","",Organisateur!F18)</f>
        <v/>
      </c>
      <c r="G18" s="353" t="str">
        <f>IF(Organisateur!G18="","",Organisateur!G18)</f>
        <v/>
      </c>
      <c r="H18" s="353" t="str">
        <f>IF(Organisateur!H18="","",Organisateur!H18)</f>
        <v/>
      </c>
      <c r="I18" s="19"/>
      <c r="J18" s="80" t="str">
        <f>IF($C18="","",IFERROR(VLOOKUP($C18,'Valeurs Règlements Nature'!$A$5:$G$8,3,FALSE),""))</f>
        <v/>
      </c>
      <c r="K18" s="81" t="str">
        <f>IF($C18="","",IFERROR(VLOOKUP($C18,'Valeurs Règlements Nature'!$A$5:$G$8,4,FALSE),""))</f>
        <v/>
      </c>
      <c r="L18" s="81" t="str">
        <f>IF($C18="","",IFERROR(VLOOKUP($C18,'Valeurs Règlements Nature'!$A$5:$G$8,5,FALSE),""))</f>
        <v/>
      </c>
      <c r="M18" s="81" t="str">
        <f>IF($C18="","",IFERROR(VLOOKUP($C18,'Valeurs Règlements Nature'!$A$5:$G$8,6,FALSE),""))</f>
        <v/>
      </c>
      <c r="N18" s="160" t="str">
        <f>IF($C18="","",IFERROR(VLOOKUP($C18,'Valeurs Règlements Nature'!$A$5:$G$8,7,FALSE),""))</f>
        <v/>
      </c>
      <c r="O18" s="45" t="str">
        <f t="shared" si="4"/>
        <v/>
      </c>
      <c r="P18" s="44" t="str">
        <f>IF(OR($C18="",NOT(ISNUMBER(F18))),"",AND(F18&gt;='Valeurs Règlements Nature'!$F$17,F18&lt;=L18))</f>
        <v/>
      </c>
      <c r="Q18" s="44" t="str">
        <f>IF(OR($C18="",NOT(ISNUMBER(G18))),"",AND(G18&gt;='Valeurs Règlements Nature'!$F$17,G18&lt;=M18))</f>
        <v/>
      </c>
      <c r="R18" s="46" t="str">
        <f>IF(OR($C18="",NOT(ISNUMBER(H18))),"",AND(H18&gt;='Valeurs Règlements Nature'!$F$17,H18&lt;=N18))</f>
        <v/>
      </c>
      <c r="S18" s="227" t="str">
        <f>IF(OR(NOT(ISNUMBER(E18)),NOT(ISNUMBER(F18))),"",IF(AND(E18&gt;=F18,ABS(E18-F18)&lt;='Valeurs Règlements Nature'!$F$16),"OK","Hors Fourchette"))</f>
        <v/>
      </c>
      <c r="T18" s="227"/>
      <c r="U18" s="227" t="str">
        <f>IF(OR(NOT(ISNUMBER(F18)),NOT(ISNUMBER(G18))),"",IF(AND(F18&gt;=G18,ABS(F18-G18)&lt;='Valeurs Règlements Nature'!$F$16),"OK","Hors Fourchette"))</f>
        <v/>
      </c>
      <c r="V18" s="227"/>
      <c r="W18" s="227" t="str">
        <f>IF(OR(NOT(ISNUMBER(G18)),NOT(ISNUMBER(H18))),"",IF(AND(G18&gt;=H18,ABS(G18-H18)&lt;='Valeurs Règlements Nature'!$F$16),"OK","Hors Fourchette"))</f>
        <v/>
      </c>
      <c r="X18" s="227"/>
      <c r="Y18" s="93"/>
      <c r="Z18" s="94"/>
      <c r="AA18" s="94"/>
      <c r="AB18" s="94"/>
      <c r="AC18" s="94"/>
      <c r="AD18" s="94"/>
      <c r="AE18" s="95"/>
      <c r="AF18" s="96" t="str">
        <f>IF(OR($C18="",$Y18=""),"",IF($Y18="Oui",IFERROR(VLOOKUP($C18,'Valeurs Règlements Nature'!$A$5:$Q$8,12,FALSE),""),IFERROR(VLOOKUP($C18,'Valeurs Règlements Nature'!$A$5:$Q$8,13,FALSE),"")))</f>
        <v/>
      </c>
      <c r="AG18" s="97" t="str">
        <f>IF(OR($C18="",$Y18="Oui",$Y18=""),"",IFERROR(VLOOKUP($C18,'Valeurs Règlements Nature'!$A$5:$Q$8,14,FALSE),""))</f>
        <v/>
      </c>
      <c r="AH18" s="97" t="str">
        <f>IF(OR($C18="",$Y18=""),"",IF($Y18="Oui",IFERROR(VLOOKUP($C18,'Valeurs Règlements Nature'!$A$5:$Q$8,15,FALSE),""),IFERROR(VLOOKUP($C18,'Valeurs Règlements Nature'!$A$5:$Q$8,16,FALSE),"")))</f>
        <v/>
      </c>
      <c r="AI18" s="98" t="str">
        <f>IF(OR($C18="",$Y18="Oui",$Y18=""),"",IFERROR(VLOOKUP($C18,'Valeurs Règlements Nature'!$A$5:$Q$8,17,FALSE),""))</f>
        <v/>
      </c>
      <c r="AJ18" s="90" t="str">
        <f t="shared" si="0"/>
        <v/>
      </c>
      <c r="AK18" s="91" t="str">
        <f t="shared" si="1"/>
        <v/>
      </c>
      <c r="AL18" s="92" t="str">
        <f t="shared" si="2"/>
        <v/>
      </c>
      <c r="AM18" s="111" t="str">
        <f t="shared" si="3"/>
        <v/>
      </c>
      <c r="AN18" s="112" t="str">
        <f>IF($C18="","",IFERROR(VLOOKUP($C18,'Valeurs Règlements Nature'!$A$5:$K$8,9,FALSE),""))</f>
        <v/>
      </c>
      <c r="AO18" s="113" t="str">
        <f>IF(OR($C18="",$Y18="",AJ18="",AK18="",AL18="",AM18=""),"",IF(AND(ABS(Z18-AF18)&lt;=$Y$3,IF($Y18="Oui",TRUE,ABS(AA18-AG18)&lt;=$Y$3),ABS(AB18-AH18)&lt;=$Y$3,IF($Y18="Oui",TRUE,ABS(AC18-AI18)&lt;=$Y$3),AL18&gt;=IFERROR(VLOOKUP($C18,'Valeurs Règlements Nature'!$A$5:$K$8,8,FALSE),0),AL18&lt;=AN18,AM18&gt;=IFERROR(VLOOKUP($C18,'Valeurs Règlements Nature'!$A$5:$K$8,10,FALSE),0),AM18&lt;=IFERROR(VLOOKUP($C18,'Valeurs Règlements Nature'!$A$5:$K$8,11,FALSE),999)),"CONFORME","NON CONFORME"))</f>
        <v/>
      </c>
      <c r="AP18"/>
    </row>
    <row r="19" spans="1:211" ht="20.75" customHeight="1">
      <c r="A19" s="149">
        <v>14</v>
      </c>
      <c r="B19" s="351" t="str">
        <f>IF(Organisateur!B19="","",Organisateur!B19)</f>
        <v/>
      </c>
      <c r="C19" s="352" t="str">
        <f>IF(Organisateur!C19="","",Organisateur!C19)</f>
        <v/>
      </c>
      <c r="D19" s="352"/>
      <c r="E19" s="353" t="str">
        <f>IF(Organisateur!E19="","",Organisateur!E19)</f>
        <v/>
      </c>
      <c r="F19" s="353" t="str">
        <f>IF(Organisateur!F19="","",Organisateur!F19)</f>
        <v/>
      </c>
      <c r="G19" s="353" t="str">
        <f>IF(Organisateur!G19="","",Organisateur!G19)</f>
        <v/>
      </c>
      <c r="H19" s="353" t="str">
        <f>IF(Organisateur!H19="","",Organisateur!H19)</f>
        <v/>
      </c>
      <c r="I19" s="19"/>
      <c r="J19" s="80" t="str">
        <f>IF($C19="","",IFERROR(VLOOKUP($C19,'Valeurs Règlements Nature'!$A$5:$G$8,3,FALSE),""))</f>
        <v/>
      </c>
      <c r="K19" s="81" t="str">
        <f>IF($C19="","",IFERROR(VLOOKUP($C19,'Valeurs Règlements Nature'!$A$5:$G$8,4,FALSE),""))</f>
        <v/>
      </c>
      <c r="L19" s="81" t="str">
        <f>IF($C19="","",IFERROR(VLOOKUP($C19,'Valeurs Règlements Nature'!$A$5:$G$8,5,FALSE),""))</f>
        <v/>
      </c>
      <c r="M19" s="81" t="str">
        <f>IF($C19="","",IFERROR(VLOOKUP($C19,'Valeurs Règlements Nature'!$A$5:$G$8,6,FALSE),""))</f>
        <v/>
      </c>
      <c r="N19" s="160" t="str">
        <f>IF($C19="","",IFERROR(VLOOKUP($C19,'Valeurs Règlements Nature'!$A$5:$G$8,7,FALSE),""))</f>
        <v/>
      </c>
      <c r="O19" s="45" t="str">
        <f t="shared" si="4"/>
        <v/>
      </c>
      <c r="P19" s="44" t="str">
        <f>IF(OR($C19="",NOT(ISNUMBER(F19))),"",AND(F19&gt;='Valeurs Règlements Nature'!$F$17,F19&lt;=L19))</f>
        <v/>
      </c>
      <c r="Q19" s="44" t="str">
        <f>IF(OR($C19="",NOT(ISNUMBER(G19))),"",AND(G19&gt;='Valeurs Règlements Nature'!$F$17,G19&lt;=M19))</f>
        <v/>
      </c>
      <c r="R19" s="46" t="str">
        <f>IF(OR($C19="",NOT(ISNUMBER(H19))),"",AND(H19&gt;='Valeurs Règlements Nature'!$F$17,H19&lt;=N19))</f>
        <v/>
      </c>
      <c r="S19" s="227" t="str">
        <f>IF(OR(NOT(ISNUMBER(E19)),NOT(ISNUMBER(F19))),"",IF(AND(E19&gt;=F19,ABS(E19-F19)&lt;='Valeurs Règlements Nature'!$F$16),"OK","Hors Fourchette"))</f>
        <v/>
      </c>
      <c r="T19" s="227"/>
      <c r="U19" s="227" t="str">
        <f>IF(OR(NOT(ISNUMBER(F19)),NOT(ISNUMBER(G19))),"",IF(AND(F19&gt;=G19,ABS(F19-G19)&lt;='Valeurs Règlements Nature'!$F$16),"OK","Hors Fourchette"))</f>
        <v/>
      </c>
      <c r="V19" s="227"/>
      <c r="W19" s="227" t="str">
        <f>IF(OR(NOT(ISNUMBER(G19)),NOT(ISNUMBER(H19))),"",IF(AND(G19&gt;=H19,ABS(G19-H19)&lt;='Valeurs Règlements Nature'!$F$16),"OK","Hors Fourchette"))</f>
        <v/>
      </c>
      <c r="X19" s="227"/>
      <c r="Y19" s="93"/>
      <c r="Z19" s="94"/>
      <c r="AA19" s="94"/>
      <c r="AB19" s="94"/>
      <c r="AC19" s="94"/>
      <c r="AD19" s="94"/>
      <c r="AE19" s="95"/>
      <c r="AF19" s="96" t="str">
        <f>IF(OR($C19="",$Y19=""),"",IF($Y19="Oui",IFERROR(VLOOKUP($C19,'Valeurs Règlements Nature'!$A$5:$Q$8,12,FALSE),""),IFERROR(VLOOKUP($C19,'Valeurs Règlements Nature'!$A$5:$Q$8,13,FALSE),"")))</f>
        <v/>
      </c>
      <c r="AG19" s="97" t="str">
        <f>IF(OR($C19="",$Y19="Oui",$Y19=""),"",IFERROR(VLOOKUP($C19,'Valeurs Règlements Nature'!$A$5:$Q$8,14,FALSE),""))</f>
        <v/>
      </c>
      <c r="AH19" s="97" t="str">
        <f>IF(OR($C19="",$Y19=""),"",IF($Y19="Oui",IFERROR(VLOOKUP($C19,'Valeurs Règlements Nature'!$A$5:$Q$8,15,FALSE),""),IFERROR(VLOOKUP($C19,'Valeurs Règlements Nature'!$A$5:$Q$8,16,FALSE),"")))</f>
        <v/>
      </c>
      <c r="AI19" s="98" t="str">
        <f>IF(OR($C19="",$Y19="Oui",$Y19=""),"",IFERROR(VLOOKUP($C19,'Valeurs Règlements Nature'!$A$5:$Q$8,17,FALSE),""))</f>
        <v/>
      </c>
      <c r="AJ19" s="90" t="str">
        <f t="shared" si="0"/>
        <v/>
      </c>
      <c r="AK19" s="91" t="str">
        <f t="shared" si="1"/>
        <v/>
      </c>
      <c r="AL19" s="92" t="str">
        <f t="shared" si="2"/>
        <v/>
      </c>
      <c r="AM19" s="111" t="str">
        <f t="shared" si="3"/>
        <v/>
      </c>
      <c r="AN19" s="112" t="str">
        <f>IF($C19="","",IFERROR(VLOOKUP($C19,'Valeurs Règlements Nature'!$A$5:$K$8,9,FALSE),""))</f>
        <v/>
      </c>
      <c r="AO19" s="113" t="str">
        <f>IF(OR($C19="",$Y19="",AJ19="",AK19="",AL19="",AM19=""),"",IF(AND(ABS(Z19-AF19)&lt;=$Y$3,IF($Y19="Oui",TRUE,ABS(AA19-AG19)&lt;=$Y$3),ABS(AB19-AH19)&lt;=$Y$3,IF($Y19="Oui",TRUE,ABS(AC19-AI19)&lt;=$Y$3),AL19&gt;=IFERROR(VLOOKUP($C19,'Valeurs Règlements Nature'!$A$5:$K$8,8,FALSE),0),AL19&lt;=AN19,AM19&gt;=IFERROR(VLOOKUP($C19,'Valeurs Règlements Nature'!$A$5:$K$8,10,FALSE),0),AM19&lt;=IFERROR(VLOOKUP($C19,'Valeurs Règlements Nature'!$A$5:$K$8,11,FALSE),999)),"CONFORME","NON CONFORME"))</f>
        <v/>
      </c>
      <c r="AP19"/>
    </row>
    <row r="20" spans="1:211" ht="20.75" customHeight="1">
      <c r="A20" s="149">
        <v>15</v>
      </c>
      <c r="B20" s="351" t="str">
        <f>IF(Organisateur!B20="","",Organisateur!B20)</f>
        <v/>
      </c>
      <c r="C20" s="352" t="str">
        <f>IF(Organisateur!C20="","",Organisateur!C20)</f>
        <v/>
      </c>
      <c r="D20" s="352"/>
      <c r="E20" s="353" t="str">
        <f>IF(Organisateur!E20="","",Organisateur!E20)</f>
        <v/>
      </c>
      <c r="F20" s="353" t="str">
        <f>IF(Organisateur!F20="","",Organisateur!F20)</f>
        <v/>
      </c>
      <c r="G20" s="353" t="str">
        <f>IF(Organisateur!G20="","",Organisateur!G20)</f>
        <v/>
      </c>
      <c r="H20" s="353" t="str">
        <f>IF(Organisateur!H20="","",Organisateur!H20)</f>
        <v/>
      </c>
      <c r="I20" s="19"/>
      <c r="J20" s="80" t="str">
        <f>IF($C20="","",IFERROR(VLOOKUP($C20,'Valeurs Règlements Nature'!$A$5:$G$8,3,FALSE),""))</f>
        <v/>
      </c>
      <c r="K20" s="81" t="str">
        <f>IF($C20="","",IFERROR(VLOOKUP($C20,'Valeurs Règlements Nature'!$A$5:$G$8,4,FALSE),""))</f>
        <v/>
      </c>
      <c r="L20" s="81" t="str">
        <f>IF($C20="","",IFERROR(VLOOKUP($C20,'Valeurs Règlements Nature'!$A$5:$G$8,5,FALSE),""))</f>
        <v/>
      </c>
      <c r="M20" s="81" t="str">
        <f>IF($C20="","",IFERROR(VLOOKUP($C20,'Valeurs Règlements Nature'!$A$5:$G$8,6,FALSE),""))</f>
        <v/>
      </c>
      <c r="N20" s="160" t="str">
        <f>IF($C20="","",IFERROR(VLOOKUP($C20,'Valeurs Règlements Nature'!$A$5:$G$8,7,FALSE),""))</f>
        <v/>
      </c>
      <c r="O20" s="45" t="str">
        <f t="shared" si="4"/>
        <v/>
      </c>
      <c r="P20" s="44" t="str">
        <f>IF(OR($C20="",NOT(ISNUMBER(F20))),"",AND(F20&gt;='Valeurs Règlements Nature'!$F$17,F20&lt;=L20))</f>
        <v/>
      </c>
      <c r="Q20" s="44" t="str">
        <f>IF(OR($C20="",NOT(ISNUMBER(G20))),"",AND(G20&gt;='Valeurs Règlements Nature'!$F$17,G20&lt;=M20))</f>
        <v/>
      </c>
      <c r="R20" s="46" t="str">
        <f>IF(OR($C20="",NOT(ISNUMBER(H20))),"",AND(H20&gt;='Valeurs Règlements Nature'!$F$17,H20&lt;=N20))</f>
        <v/>
      </c>
      <c r="S20" s="227" t="str">
        <f>IF(OR(NOT(ISNUMBER(E20)),NOT(ISNUMBER(F20))),"",IF(AND(E20&gt;=F20,ABS(E20-F20)&lt;='Valeurs Règlements Nature'!$F$16),"OK","Hors Fourchette"))</f>
        <v/>
      </c>
      <c r="T20" s="227"/>
      <c r="U20" s="227" t="str">
        <f>IF(OR(NOT(ISNUMBER(F20)),NOT(ISNUMBER(G20))),"",IF(AND(F20&gt;=G20,ABS(F20-G20)&lt;='Valeurs Règlements Nature'!$F$16),"OK","Hors Fourchette"))</f>
        <v/>
      </c>
      <c r="V20" s="227"/>
      <c r="W20" s="227" t="str">
        <f>IF(OR(NOT(ISNUMBER(G20)),NOT(ISNUMBER(H20))),"",IF(AND(G20&gt;=H20,ABS(G20-H20)&lt;='Valeurs Règlements Nature'!$F$16),"OK","Hors Fourchette"))</f>
        <v/>
      </c>
      <c r="X20" s="227"/>
      <c r="Y20" s="93"/>
      <c r="Z20" s="94"/>
      <c r="AA20" s="94"/>
      <c r="AB20" s="94"/>
      <c r="AC20" s="94"/>
      <c r="AD20" s="94"/>
      <c r="AE20" s="95"/>
      <c r="AF20" s="96" t="str">
        <f>IF(OR($C20="",$Y20=""),"",IF($Y20="Oui",IFERROR(VLOOKUP($C20,'Valeurs Règlements Nature'!$A$5:$Q$8,12,FALSE),""),IFERROR(VLOOKUP($C20,'Valeurs Règlements Nature'!$A$5:$Q$8,13,FALSE),"")))</f>
        <v/>
      </c>
      <c r="AG20" s="97" t="str">
        <f>IF(OR($C20="",$Y20="Oui",$Y20=""),"",IFERROR(VLOOKUP($C20,'Valeurs Règlements Nature'!$A$5:$Q$8,14,FALSE),""))</f>
        <v/>
      </c>
      <c r="AH20" s="97" t="str">
        <f>IF(OR($C20="",$Y20=""),"",IF($Y20="Oui",IFERROR(VLOOKUP($C20,'Valeurs Règlements Nature'!$A$5:$Q$8,15,FALSE),""),IFERROR(VLOOKUP($C20,'Valeurs Règlements Nature'!$A$5:$Q$8,16,FALSE),"")))</f>
        <v/>
      </c>
      <c r="AI20" s="98" t="str">
        <f>IF(OR($C20="",$Y20="Oui",$Y20=""),"",IFERROR(VLOOKUP($C20,'Valeurs Règlements Nature'!$A$5:$Q$8,17,FALSE),""))</f>
        <v/>
      </c>
      <c r="AJ20" s="90" t="str">
        <f t="shared" si="0"/>
        <v/>
      </c>
      <c r="AK20" s="91" t="str">
        <f t="shared" si="1"/>
        <v/>
      </c>
      <c r="AL20" s="92" t="str">
        <f t="shared" si="2"/>
        <v/>
      </c>
      <c r="AM20" s="111" t="str">
        <f t="shared" si="3"/>
        <v/>
      </c>
      <c r="AN20" s="112" t="str">
        <f>IF($C20="","",IFERROR(VLOOKUP($C20,'Valeurs Règlements Nature'!$A$5:$K$8,9,FALSE),""))</f>
        <v/>
      </c>
      <c r="AO20" s="113" t="str">
        <f>IF(OR($C20="",$Y20="",AJ20="",AK20="",AL20="",AM20=""),"",IF(AND(ABS(Z20-AF20)&lt;=$Y$3,IF($Y20="Oui",TRUE,ABS(AA20-AG20)&lt;=$Y$3),ABS(AB20-AH20)&lt;=$Y$3,IF($Y20="Oui",TRUE,ABS(AC20-AI20)&lt;=$Y$3),AL20&gt;=IFERROR(VLOOKUP($C20,'Valeurs Règlements Nature'!$A$5:$K$8,8,FALSE),0),AL20&lt;=AN20,AM20&gt;=IFERROR(VLOOKUP($C20,'Valeurs Règlements Nature'!$A$5:$K$8,10,FALSE),0),AM20&lt;=IFERROR(VLOOKUP($C20,'Valeurs Règlements Nature'!$A$5:$K$8,11,FALSE),999)),"CONFORME","NON CONFORME"))</f>
        <v/>
      </c>
      <c r="AP20"/>
    </row>
    <row r="21" spans="1:211" ht="20.75" customHeight="1">
      <c r="A21" s="149">
        <v>16</v>
      </c>
      <c r="B21" s="351" t="str">
        <f>IF(Organisateur!B21="","",Organisateur!B21)</f>
        <v/>
      </c>
      <c r="C21" s="352" t="str">
        <f>IF(Organisateur!C21="","",Organisateur!C21)</f>
        <v/>
      </c>
      <c r="D21" s="352"/>
      <c r="E21" s="353" t="str">
        <f>IF(Organisateur!E21="","",Organisateur!E21)</f>
        <v/>
      </c>
      <c r="F21" s="353" t="str">
        <f>IF(Organisateur!F21="","",Organisateur!F21)</f>
        <v/>
      </c>
      <c r="G21" s="353" t="str">
        <f>IF(Organisateur!G21="","",Organisateur!G21)</f>
        <v/>
      </c>
      <c r="H21" s="353" t="str">
        <f>IF(Organisateur!H21="","",Organisateur!H21)</f>
        <v/>
      </c>
      <c r="I21" s="19"/>
      <c r="J21" s="80" t="str">
        <f>IF($C21="","",IFERROR(VLOOKUP($C21,'Valeurs Règlements Nature'!$A$5:$G$8,3,FALSE),""))</f>
        <v/>
      </c>
      <c r="K21" s="81" t="str">
        <f>IF($C21="","",IFERROR(VLOOKUP($C21,'Valeurs Règlements Nature'!$A$5:$G$8,4,FALSE),""))</f>
        <v/>
      </c>
      <c r="L21" s="81" t="str">
        <f>IF($C21="","",IFERROR(VLOOKUP($C21,'Valeurs Règlements Nature'!$A$5:$G$8,5,FALSE),""))</f>
        <v/>
      </c>
      <c r="M21" s="81" t="str">
        <f>IF($C21="","",IFERROR(VLOOKUP($C21,'Valeurs Règlements Nature'!$A$5:$G$8,6,FALSE),""))</f>
        <v/>
      </c>
      <c r="N21" s="160" t="str">
        <f>IF($C21="","",IFERROR(VLOOKUP($C21,'Valeurs Règlements Nature'!$A$5:$G$8,7,FALSE),""))</f>
        <v/>
      </c>
      <c r="O21" s="45" t="str">
        <f t="shared" si="4"/>
        <v/>
      </c>
      <c r="P21" s="44" t="str">
        <f>IF(OR($C21="",NOT(ISNUMBER(F21))),"",AND(F21&gt;='Valeurs Règlements Nature'!$F$17,F21&lt;=L21))</f>
        <v/>
      </c>
      <c r="Q21" s="44" t="str">
        <f>IF(OR($C21="",NOT(ISNUMBER(G21))),"",AND(G21&gt;='Valeurs Règlements Nature'!$F$17,G21&lt;=M21))</f>
        <v/>
      </c>
      <c r="R21" s="46" t="str">
        <f>IF(OR($C21="",NOT(ISNUMBER(H21))),"",AND(H21&gt;='Valeurs Règlements Nature'!$F$17,H21&lt;=N21))</f>
        <v/>
      </c>
      <c r="S21" s="227" t="str">
        <f>IF(OR(NOT(ISNUMBER(E21)),NOT(ISNUMBER(F21))),"",IF(AND(E21&gt;=F21,ABS(E21-F21)&lt;='Valeurs Règlements Nature'!$F$16),"OK","Hors Fourchette"))</f>
        <v/>
      </c>
      <c r="T21" s="227"/>
      <c r="U21" s="227" t="str">
        <f>IF(OR(NOT(ISNUMBER(F21)),NOT(ISNUMBER(G21))),"",IF(AND(F21&gt;=G21,ABS(F21-G21)&lt;='Valeurs Règlements Nature'!$F$16),"OK","Hors Fourchette"))</f>
        <v/>
      </c>
      <c r="V21" s="227"/>
      <c r="W21" s="227" t="str">
        <f>IF(OR(NOT(ISNUMBER(G21)),NOT(ISNUMBER(H21))),"",IF(AND(G21&gt;=H21,ABS(G21-H21)&lt;='Valeurs Règlements Nature'!$F$16),"OK","Hors Fourchette"))</f>
        <v/>
      </c>
      <c r="X21" s="227"/>
      <c r="Y21" s="93"/>
      <c r="Z21" s="94"/>
      <c r="AA21" s="94"/>
      <c r="AB21" s="94"/>
      <c r="AC21" s="94"/>
      <c r="AD21" s="94"/>
      <c r="AE21" s="95"/>
      <c r="AF21" s="96" t="str">
        <f>IF(OR($C21="",$Y21=""),"",IF($Y21="Oui",IFERROR(VLOOKUP($C21,'Valeurs Règlements Nature'!$A$5:$Q$8,12,FALSE),""),IFERROR(VLOOKUP($C21,'Valeurs Règlements Nature'!$A$5:$Q$8,13,FALSE),"")))</f>
        <v/>
      </c>
      <c r="AG21" s="97" t="str">
        <f>IF(OR($C21="",$Y21="Oui",$Y21=""),"",IFERROR(VLOOKUP($C21,'Valeurs Règlements Nature'!$A$5:$Q$8,14,FALSE),""))</f>
        <v/>
      </c>
      <c r="AH21" s="97" t="str">
        <f>IF(OR($C21="",$Y21=""),"",IF($Y21="Oui",IFERROR(VLOOKUP($C21,'Valeurs Règlements Nature'!$A$5:$Q$8,15,FALSE),""),IFERROR(VLOOKUP($C21,'Valeurs Règlements Nature'!$A$5:$Q$8,16,FALSE),"")))</f>
        <v/>
      </c>
      <c r="AI21" s="98" t="str">
        <f>IF(OR($C21="",$Y21="Oui",$Y21=""),"",IFERROR(VLOOKUP($C21,'Valeurs Règlements Nature'!$A$5:$Q$8,17,FALSE),""))</f>
        <v/>
      </c>
      <c r="AJ21" s="90" t="str">
        <f t="shared" si="0"/>
        <v/>
      </c>
      <c r="AK21" s="91" t="str">
        <f t="shared" si="1"/>
        <v/>
      </c>
      <c r="AL21" s="92" t="str">
        <f t="shared" si="2"/>
        <v/>
      </c>
      <c r="AM21" s="111" t="str">
        <f t="shared" si="3"/>
        <v/>
      </c>
      <c r="AN21" s="112" t="str">
        <f>IF($C21="","",IFERROR(VLOOKUP($C21,'Valeurs Règlements Nature'!$A$5:$K$8,9,FALSE),""))</f>
        <v/>
      </c>
      <c r="AO21" s="113" t="str">
        <f>IF(OR($C21="",$Y21="",AJ21="",AK21="",AL21="",AM21=""),"",IF(AND(ABS(Z21-AF21)&lt;=$Y$3,IF($Y21="Oui",TRUE,ABS(AA21-AG21)&lt;=$Y$3),ABS(AB21-AH21)&lt;=$Y$3,IF($Y21="Oui",TRUE,ABS(AC21-AI21)&lt;=$Y$3),AL21&gt;=IFERROR(VLOOKUP($C21,'Valeurs Règlements Nature'!$A$5:$K$8,8,FALSE),0),AL21&lt;=AN21,AM21&gt;=IFERROR(VLOOKUP($C21,'Valeurs Règlements Nature'!$A$5:$K$8,10,FALSE),0),AM21&lt;=IFERROR(VLOOKUP($C21,'Valeurs Règlements Nature'!$A$5:$K$8,11,FALSE),999)),"CONFORME","NON CONFORME"))</f>
        <v/>
      </c>
      <c r="AP21"/>
    </row>
    <row r="22" spans="1:211" ht="20.75" customHeight="1">
      <c r="A22" s="149">
        <v>17</v>
      </c>
      <c r="B22" s="351" t="str">
        <f>IF(Organisateur!B22="","",Organisateur!B22)</f>
        <v/>
      </c>
      <c r="C22" s="352" t="str">
        <f>IF(Organisateur!C22="","",Organisateur!C22)</f>
        <v/>
      </c>
      <c r="D22" s="352"/>
      <c r="E22" s="353" t="str">
        <f>IF(Organisateur!E22="","",Organisateur!E22)</f>
        <v/>
      </c>
      <c r="F22" s="353" t="str">
        <f>IF(Organisateur!F22="","",Organisateur!F22)</f>
        <v/>
      </c>
      <c r="G22" s="353" t="str">
        <f>IF(Organisateur!G22="","",Organisateur!G22)</f>
        <v/>
      </c>
      <c r="H22" s="353" t="str">
        <f>IF(Organisateur!H22="","",Organisateur!H22)</f>
        <v/>
      </c>
      <c r="I22" s="19"/>
      <c r="J22" s="80" t="str">
        <f>IF($C22="","",IFERROR(VLOOKUP($C22,'Valeurs Règlements Nature'!$A$5:$G$8,3,FALSE),""))</f>
        <v/>
      </c>
      <c r="K22" s="81" t="str">
        <f>IF($C22="","",IFERROR(VLOOKUP($C22,'Valeurs Règlements Nature'!$A$5:$G$8,4,FALSE),""))</f>
        <v/>
      </c>
      <c r="L22" s="81" t="str">
        <f>IF($C22="","",IFERROR(VLOOKUP($C22,'Valeurs Règlements Nature'!$A$5:$G$8,5,FALSE),""))</f>
        <v/>
      </c>
      <c r="M22" s="81" t="str">
        <f>IF($C22="","",IFERROR(VLOOKUP($C22,'Valeurs Règlements Nature'!$A$5:$G$8,6,FALSE),""))</f>
        <v/>
      </c>
      <c r="N22" s="160" t="str">
        <f>IF($C22="","",IFERROR(VLOOKUP($C22,'Valeurs Règlements Nature'!$A$5:$G$8,7,FALSE),""))</f>
        <v/>
      </c>
      <c r="O22" s="45" t="str">
        <f t="shared" si="4"/>
        <v/>
      </c>
      <c r="P22" s="44" t="str">
        <f>IF(OR($C22="",NOT(ISNUMBER(F22))),"",AND(F22&gt;='Valeurs Règlements Nature'!$F$17,F22&lt;=L22))</f>
        <v/>
      </c>
      <c r="Q22" s="44" t="str">
        <f>IF(OR($C22="",NOT(ISNUMBER(G22))),"",AND(G22&gt;='Valeurs Règlements Nature'!$F$17,G22&lt;=M22))</f>
        <v/>
      </c>
      <c r="R22" s="46" t="str">
        <f>IF(OR($C22="",NOT(ISNUMBER(H22))),"",AND(H22&gt;='Valeurs Règlements Nature'!$F$17,H22&lt;=N22))</f>
        <v/>
      </c>
      <c r="S22" s="227" t="str">
        <f>IF(OR(NOT(ISNUMBER(E22)),NOT(ISNUMBER(F22))),"",IF(AND(E22&gt;=F22,ABS(E22-F22)&lt;='Valeurs Règlements Nature'!$F$16),"OK","Hors Fourchette"))</f>
        <v/>
      </c>
      <c r="T22" s="227"/>
      <c r="U22" s="227" t="str">
        <f>IF(OR(NOT(ISNUMBER(F22)),NOT(ISNUMBER(G22))),"",IF(AND(F22&gt;=G22,ABS(F22-G22)&lt;='Valeurs Règlements Nature'!$F$16),"OK","Hors Fourchette"))</f>
        <v/>
      </c>
      <c r="V22" s="227"/>
      <c r="W22" s="227" t="str">
        <f>IF(OR(NOT(ISNUMBER(G22)),NOT(ISNUMBER(H22))),"",IF(AND(G22&gt;=H22,ABS(G22-H22)&lt;='Valeurs Règlements Nature'!$F$16),"OK","Hors Fourchette"))</f>
        <v/>
      </c>
      <c r="X22" s="227"/>
      <c r="Y22" s="93"/>
      <c r="Z22" s="94"/>
      <c r="AA22" s="94"/>
      <c r="AB22" s="94"/>
      <c r="AC22" s="94"/>
      <c r="AD22" s="94"/>
      <c r="AE22" s="95"/>
      <c r="AF22" s="96" t="str">
        <f>IF(OR($C22="",$Y22=""),"",IF($Y22="Oui",IFERROR(VLOOKUP($C22,'Valeurs Règlements Nature'!$A$5:$Q$8,12,FALSE),""),IFERROR(VLOOKUP($C22,'Valeurs Règlements Nature'!$A$5:$Q$8,13,FALSE),"")))</f>
        <v/>
      </c>
      <c r="AG22" s="97" t="str">
        <f>IF(OR($C22="",$Y22="Oui",$Y22=""),"",IFERROR(VLOOKUP($C22,'Valeurs Règlements Nature'!$A$5:$Q$8,14,FALSE),""))</f>
        <v/>
      </c>
      <c r="AH22" s="97" t="str">
        <f>IF(OR($C22="",$Y22=""),"",IF($Y22="Oui",IFERROR(VLOOKUP($C22,'Valeurs Règlements Nature'!$A$5:$Q$8,15,FALSE),""),IFERROR(VLOOKUP($C22,'Valeurs Règlements Nature'!$A$5:$Q$8,16,FALSE),"")))</f>
        <v/>
      </c>
      <c r="AI22" s="98" t="str">
        <f>IF(OR($C22="",$Y22="Oui",$Y22=""),"",IFERROR(VLOOKUP($C22,'Valeurs Règlements Nature'!$A$5:$Q$8,17,FALSE),""))</f>
        <v/>
      </c>
      <c r="AJ22" s="90" t="str">
        <f t="shared" si="0"/>
        <v/>
      </c>
      <c r="AK22" s="91" t="str">
        <f t="shared" si="1"/>
        <v/>
      </c>
      <c r="AL22" s="92" t="str">
        <f t="shared" si="2"/>
        <v/>
      </c>
      <c r="AM22" s="111" t="str">
        <f t="shared" si="3"/>
        <v/>
      </c>
      <c r="AN22" s="112" t="str">
        <f>IF($C22="","",IFERROR(VLOOKUP($C22,'Valeurs Règlements Nature'!$A$5:$K$8,9,FALSE),""))</f>
        <v/>
      </c>
      <c r="AO22" s="113" t="str">
        <f>IF(OR($C22="",$Y22="",AJ22="",AK22="",AL22="",AM22=""),"",IF(AND(ABS(Z22-AF22)&lt;=$Y$3,IF($Y22="Oui",TRUE,ABS(AA22-AG22)&lt;=$Y$3),ABS(AB22-AH22)&lt;=$Y$3,IF($Y22="Oui",TRUE,ABS(AC22-AI22)&lt;=$Y$3),AL22&gt;=IFERROR(VLOOKUP($C22,'Valeurs Règlements Nature'!$A$5:$K$8,8,FALSE),0),AL22&lt;=AN22,AM22&gt;=IFERROR(VLOOKUP($C22,'Valeurs Règlements Nature'!$A$5:$K$8,10,FALSE),0),AM22&lt;=IFERROR(VLOOKUP($C22,'Valeurs Règlements Nature'!$A$5:$K$8,11,FALSE),999)),"CONFORME","NON CONFORME"))</f>
        <v/>
      </c>
      <c r="AP22"/>
    </row>
    <row r="23" spans="1:211" ht="20.75" customHeight="1">
      <c r="A23" s="149">
        <v>18</v>
      </c>
      <c r="B23" s="351" t="str">
        <f>IF(Organisateur!B23="","",Organisateur!B23)</f>
        <v/>
      </c>
      <c r="C23" s="352" t="str">
        <f>IF(Organisateur!C23="","",Organisateur!C23)</f>
        <v/>
      </c>
      <c r="D23" s="352"/>
      <c r="E23" s="353" t="str">
        <f>IF(Organisateur!E23="","",Organisateur!E23)</f>
        <v/>
      </c>
      <c r="F23" s="353" t="str">
        <f>IF(Organisateur!F23="","",Organisateur!F23)</f>
        <v/>
      </c>
      <c r="G23" s="353" t="str">
        <f>IF(Organisateur!G23="","",Organisateur!G23)</f>
        <v/>
      </c>
      <c r="H23" s="353" t="str">
        <f>IF(Organisateur!H23="","",Organisateur!H23)</f>
        <v/>
      </c>
      <c r="I23" s="19"/>
      <c r="J23" s="80" t="str">
        <f>IF($C23="","",IFERROR(VLOOKUP($C23,'Valeurs Règlements Nature'!$A$5:$G$8,3,FALSE),""))</f>
        <v/>
      </c>
      <c r="K23" s="81" t="str">
        <f>IF($C23="","",IFERROR(VLOOKUP($C23,'Valeurs Règlements Nature'!$A$5:$G$8,4,FALSE),""))</f>
        <v/>
      </c>
      <c r="L23" s="81" t="str">
        <f>IF($C23="","",IFERROR(VLOOKUP($C23,'Valeurs Règlements Nature'!$A$5:$G$8,5,FALSE),""))</f>
        <v/>
      </c>
      <c r="M23" s="81" t="str">
        <f>IF($C23="","",IFERROR(VLOOKUP($C23,'Valeurs Règlements Nature'!$A$5:$G$8,6,FALSE),""))</f>
        <v/>
      </c>
      <c r="N23" s="160" t="str">
        <f>IF($C23="","",IFERROR(VLOOKUP($C23,'Valeurs Règlements Nature'!$A$5:$G$8,7,FALSE),""))</f>
        <v/>
      </c>
      <c r="O23" s="45" t="str">
        <f t="shared" si="4"/>
        <v/>
      </c>
      <c r="P23" s="44" t="str">
        <f>IF(OR($C23="",NOT(ISNUMBER(F23))),"",AND(F23&gt;='Valeurs Règlements Nature'!$F$17,F23&lt;=L23))</f>
        <v/>
      </c>
      <c r="Q23" s="44" t="str">
        <f>IF(OR($C23="",NOT(ISNUMBER(G23))),"",AND(G23&gt;='Valeurs Règlements Nature'!$F$17,G23&lt;=M23))</f>
        <v/>
      </c>
      <c r="R23" s="46" t="str">
        <f>IF(OR($C23="",NOT(ISNUMBER(H23))),"",AND(H23&gt;='Valeurs Règlements Nature'!$F$17,H23&lt;=N23))</f>
        <v/>
      </c>
      <c r="S23" s="227" t="str">
        <f>IF(OR(NOT(ISNUMBER(E23)),NOT(ISNUMBER(F23))),"",IF(AND(E23&gt;=F23,ABS(E23-F23)&lt;='Valeurs Règlements Nature'!$F$16),"OK","Hors Fourchette"))</f>
        <v/>
      </c>
      <c r="T23" s="227"/>
      <c r="U23" s="227" t="str">
        <f>IF(OR(NOT(ISNUMBER(F23)),NOT(ISNUMBER(G23))),"",IF(AND(F23&gt;=G23,ABS(F23-G23)&lt;='Valeurs Règlements Nature'!$F$16),"OK","Hors Fourchette"))</f>
        <v/>
      </c>
      <c r="V23" s="227"/>
      <c r="W23" s="227" t="str">
        <f>IF(OR(NOT(ISNUMBER(G23)),NOT(ISNUMBER(H23))),"",IF(AND(G23&gt;=H23,ABS(G23-H23)&lt;='Valeurs Règlements Nature'!$F$16),"OK","Hors Fourchette"))</f>
        <v/>
      </c>
      <c r="X23" s="227"/>
      <c r="Y23" s="93"/>
      <c r="Z23" s="94"/>
      <c r="AA23" s="94"/>
      <c r="AB23" s="94"/>
      <c r="AC23" s="94"/>
      <c r="AD23" s="94"/>
      <c r="AE23" s="95"/>
      <c r="AF23" s="96" t="str">
        <f>IF(OR($C23="",$Y23=""),"",IF($Y23="Oui",IFERROR(VLOOKUP($C23,'Valeurs Règlements Nature'!$A$5:$Q$8,12,FALSE),""),IFERROR(VLOOKUP($C23,'Valeurs Règlements Nature'!$A$5:$Q$8,13,FALSE),"")))</f>
        <v/>
      </c>
      <c r="AG23" s="97" t="str">
        <f>IF(OR($C23="",$Y23="Oui",$Y23=""),"",IFERROR(VLOOKUP($C23,'Valeurs Règlements Nature'!$A$5:$Q$8,14,FALSE),""))</f>
        <v/>
      </c>
      <c r="AH23" s="97" t="str">
        <f>IF(OR($C23="",$Y23=""),"",IF($Y23="Oui",IFERROR(VLOOKUP($C23,'Valeurs Règlements Nature'!$A$5:$Q$8,15,FALSE),""),IFERROR(VLOOKUP($C23,'Valeurs Règlements Nature'!$A$5:$Q$8,16,FALSE),"")))</f>
        <v/>
      </c>
      <c r="AI23" s="98" t="str">
        <f>IF(OR($C23="",$Y23="Oui",$Y23=""),"",IFERROR(VLOOKUP($C23,'Valeurs Règlements Nature'!$A$5:$Q$8,17,FALSE),""))</f>
        <v/>
      </c>
      <c r="AJ23" s="90" t="str">
        <f t="shared" si="0"/>
        <v/>
      </c>
      <c r="AK23" s="91" t="str">
        <f t="shared" si="1"/>
        <v/>
      </c>
      <c r="AL23" s="92" t="str">
        <f t="shared" si="2"/>
        <v/>
      </c>
      <c r="AM23" s="111" t="str">
        <f t="shared" si="3"/>
        <v/>
      </c>
      <c r="AN23" s="112" t="str">
        <f>IF($C23="","",IFERROR(VLOOKUP($C23,'Valeurs Règlements Nature'!$A$5:$K$8,9,FALSE),""))</f>
        <v/>
      </c>
      <c r="AO23" s="113" t="str">
        <f>IF(OR($C23="",$Y23="",AJ23="",AK23="",AL23="",AM23=""),"",IF(AND(ABS(Z23-AF23)&lt;=$Y$3,IF($Y23="Oui",TRUE,ABS(AA23-AG23)&lt;=$Y$3),ABS(AB23-AH23)&lt;=$Y$3,IF($Y23="Oui",TRUE,ABS(AC23-AI23)&lt;=$Y$3),AL23&gt;=IFERROR(VLOOKUP($C23,'Valeurs Règlements Nature'!$A$5:$K$8,8,FALSE),0),AL23&lt;=AN23,AM23&gt;=IFERROR(VLOOKUP($C23,'Valeurs Règlements Nature'!$A$5:$K$8,10,FALSE),0),AM23&lt;=IFERROR(VLOOKUP($C23,'Valeurs Règlements Nature'!$A$5:$K$8,11,FALSE),999)),"CONFORME","NON CONFORME"))</f>
        <v/>
      </c>
      <c r="AP23"/>
    </row>
    <row r="24" spans="1:211" ht="20.75" customHeight="1">
      <c r="A24" s="149">
        <v>19</v>
      </c>
      <c r="B24" s="351" t="str">
        <f>IF(Organisateur!B24="","",Organisateur!B24)</f>
        <v/>
      </c>
      <c r="C24" s="352" t="str">
        <f>IF(Organisateur!C24="","",Organisateur!C24)</f>
        <v/>
      </c>
      <c r="D24" s="352"/>
      <c r="E24" s="353" t="str">
        <f>IF(Organisateur!E24="","",Organisateur!E24)</f>
        <v/>
      </c>
      <c r="F24" s="353" t="str">
        <f>IF(Organisateur!F24="","",Organisateur!F24)</f>
        <v/>
      </c>
      <c r="G24" s="353" t="str">
        <f>IF(Organisateur!G24="","",Organisateur!G24)</f>
        <v/>
      </c>
      <c r="H24" s="353" t="str">
        <f>IF(Organisateur!H24="","",Organisateur!H24)</f>
        <v/>
      </c>
      <c r="I24" s="19"/>
      <c r="J24" s="80" t="str">
        <f>IF($C24="","",IFERROR(VLOOKUP($C24,'Valeurs Règlements Nature'!$A$5:$G$8,3,FALSE),""))</f>
        <v/>
      </c>
      <c r="K24" s="81" t="str">
        <f>IF($C24="","",IFERROR(VLOOKUP($C24,'Valeurs Règlements Nature'!$A$5:$G$8,4,FALSE),""))</f>
        <v/>
      </c>
      <c r="L24" s="81" t="str">
        <f>IF($C24="","",IFERROR(VLOOKUP($C24,'Valeurs Règlements Nature'!$A$5:$G$8,5,FALSE),""))</f>
        <v/>
      </c>
      <c r="M24" s="81" t="str">
        <f>IF($C24="","",IFERROR(VLOOKUP($C24,'Valeurs Règlements Nature'!$A$5:$G$8,6,FALSE),""))</f>
        <v/>
      </c>
      <c r="N24" s="160" t="str">
        <f>IF($C24="","",IFERROR(VLOOKUP($C24,'Valeurs Règlements Nature'!$A$5:$G$8,7,FALSE),""))</f>
        <v/>
      </c>
      <c r="O24" s="45" t="str">
        <f t="shared" si="4"/>
        <v/>
      </c>
      <c r="P24" s="44" t="str">
        <f>IF(OR($C24="",NOT(ISNUMBER(F24))),"",AND(F24&gt;='Valeurs Règlements Nature'!$F$17,F24&lt;=L24))</f>
        <v/>
      </c>
      <c r="Q24" s="44" t="str">
        <f>IF(OR($C24="",NOT(ISNUMBER(G24))),"",AND(G24&gt;='Valeurs Règlements Nature'!$F$17,G24&lt;=M24))</f>
        <v/>
      </c>
      <c r="R24" s="46" t="str">
        <f>IF(OR($C24="",NOT(ISNUMBER(H24))),"",AND(H24&gt;='Valeurs Règlements Nature'!$F$17,H24&lt;=N24))</f>
        <v/>
      </c>
      <c r="S24" s="227" t="str">
        <f>IF(OR(NOT(ISNUMBER(E24)),NOT(ISNUMBER(F24))),"",IF(AND(E24&gt;=F24,ABS(E24-F24)&lt;='Valeurs Règlements Nature'!$F$16),"OK","Hors Fourchette"))</f>
        <v/>
      </c>
      <c r="T24" s="227"/>
      <c r="U24" s="227" t="str">
        <f>IF(OR(NOT(ISNUMBER(F24)),NOT(ISNUMBER(G24))),"",IF(AND(F24&gt;=G24,ABS(F24-G24)&lt;='Valeurs Règlements Nature'!$F$16),"OK","Hors Fourchette"))</f>
        <v/>
      </c>
      <c r="V24" s="227"/>
      <c r="W24" s="227" t="str">
        <f>IF(OR(NOT(ISNUMBER(G24)),NOT(ISNUMBER(H24))),"",IF(AND(G24&gt;=H24,ABS(G24-H24)&lt;='Valeurs Règlements Nature'!$F$16),"OK","Hors Fourchette"))</f>
        <v/>
      </c>
      <c r="X24" s="227"/>
      <c r="Y24" s="93"/>
      <c r="Z24" s="94"/>
      <c r="AA24" s="94"/>
      <c r="AB24" s="94"/>
      <c r="AC24" s="94"/>
      <c r="AD24" s="94"/>
      <c r="AE24" s="95"/>
      <c r="AF24" s="96" t="str">
        <f>IF(OR($C24="",$Y24=""),"",IF($Y24="Oui",IFERROR(VLOOKUP($C24,'Valeurs Règlements Nature'!$A$5:$Q$8,12,FALSE),""),IFERROR(VLOOKUP($C24,'Valeurs Règlements Nature'!$A$5:$Q$8,13,FALSE),"")))</f>
        <v/>
      </c>
      <c r="AG24" s="97" t="str">
        <f>IF(OR($C24="",$Y24="Oui",$Y24=""),"",IFERROR(VLOOKUP($C24,'Valeurs Règlements Nature'!$A$5:$Q$8,14,FALSE),""))</f>
        <v/>
      </c>
      <c r="AH24" s="97" t="str">
        <f>IF(OR($C24="",$Y24=""),"",IF($Y24="Oui",IFERROR(VLOOKUP($C24,'Valeurs Règlements Nature'!$A$5:$Q$8,15,FALSE),""),IFERROR(VLOOKUP($C24,'Valeurs Règlements Nature'!$A$5:$Q$8,16,FALSE),"")))</f>
        <v/>
      </c>
      <c r="AI24" s="98" t="str">
        <f>IF(OR($C24="",$Y24="Oui",$Y24=""),"",IFERROR(VLOOKUP($C24,'Valeurs Règlements Nature'!$A$5:$Q$8,17,FALSE),""))</f>
        <v/>
      </c>
      <c r="AJ24" s="90" t="str">
        <f t="shared" si="0"/>
        <v/>
      </c>
      <c r="AK24" s="91" t="str">
        <f t="shared" si="1"/>
        <v/>
      </c>
      <c r="AL24" s="92" t="str">
        <f t="shared" si="2"/>
        <v/>
      </c>
      <c r="AM24" s="111" t="str">
        <f t="shared" si="3"/>
        <v/>
      </c>
      <c r="AN24" s="112" t="str">
        <f>IF($C24="","",IFERROR(VLOOKUP($C24,'Valeurs Règlements Nature'!$A$5:$K$8,9,FALSE),""))</f>
        <v/>
      </c>
      <c r="AO24" s="113" t="str">
        <f>IF(OR($C24="",$Y24="",AJ24="",AK24="",AL24="",AM24=""),"",IF(AND(ABS(Z24-AF24)&lt;=$Y$3,IF($Y24="Oui",TRUE,ABS(AA24-AG24)&lt;=$Y$3),ABS(AB24-AH24)&lt;=$Y$3,IF($Y24="Oui",TRUE,ABS(AC24-AI24)&lt;=$Y$3),AL24&gt;=IFERROR(VLOOKUP($C24,'Valeurs Règlements Nature'!$A$5:$K$8,8,FALSE),0),AL24&lt;=AN24,AM24&gt;=IFERROR(VLOOKUP($C24,'Valeurs Règlements Nature'!$A$5:$K$8,10,FALSE),0),AM24&lt;=IFERROR(VLOOKUP($C24,'Valeurs Règlements Nature'!$A$5:$K$8,11,FALSE),999)),"CONFORME","NON CONFORME"))</f>
        <v/>
      </c>
      <c r="AP24"/>
    </row>
    <row r="25" spans="1:211" ht="20.75" customHeight="1">
      <c r="A25" s="149">
        <v>20</v>
      </c>
      <c r="B25" s="351" t="str">
        <f>IF(Organisateur!B25="","",Organisateur!B25)</f>
        <v/>
      </c>
      <c r="C25" s="352" t="str">
        <f>IF(Organisateur!C25="","",Organisateur!C25)</f>
        <v/>
      </c>
      <c r="D25" s="352"/>
      <c r="E25" s="353" t="str">
        <f>IF(Organisateur!E25="","",Organisateur!E25)</f>
        <v/>
      </c>
      <c r="F25" s="353" t="str">
        <f>IF(Organisateur!F25="","",Organisateur!F25)</f>
        <v/>
      </c>
      <c r="G25" s="353" t="str">
        <f>IF(Organisateur!G25="","",Organisateur!G25)</f>
        <v/>
      </c>
      <c r="H25" s="353" t="str">
        <f>IF(Organisateur!H25="","",Organisateur!H25)</f>
        <v/>
      </c>
      <c r="I25" s="19"/>
      <c r="J25" s="80" t="str">
        <f>IF($C25="","",IFERROR(VLOOKUP($C25,'Valeurs Règlements Nature'!$A$5:$G$8,3,FALSE),""))</f>
        <v/>
      </c>
      <c r="K25" s="81" t="str">
        <f>IF($C25="","",IFERROR(VLOOKUP($C25,'Valeurs Règlements Nature'!$A$5:$G$8,4,FALSE),""))</f>
        <v/>
      </c>
      <c r="L25" s="81" t="str">
        <f>IF($C25="","",IFERROR(VLOOKUP($C25,'Valeurs Règlements Nature'!$A$5:$G$8,5,FALSE),""))</f>
        <v/>
      </c>
      <c r="M25" s="81" t="str">
        <f>IF($C25="","",IFERROR(VLOOKUP($C25,'Valeurs Règlements Nature'!$A$5:$G$8,6,FALSE),""))</f>
        <v/>
      </c>
      <c r="N25" s="160" t="str">
        <f>IF($C25="","",IFERROR(VLOOKUP($C25,'Valeurs Règlements Nature'!$A$5:$G$8,7,FALSE),""))</f>
        <v/>
      </c>
      <c r="O25" s="45" t="str">
        <f t="shared" si="4"/>
        <v/>
      </c>
      <c r="P25" s="44" t="str">
        <f>IF(OR($C25="",NOT(ISNUMBER(F25))),"",AND(F25&gt;='Valeurs Règlements Nature'!$F$17,F25&lt;=L25))</f>
        <v/>
      </c>
      <c r="Q25" s="44" t="str">
        <f>IF(OR($C25="",NOT(ISNUMBER(G25))),"",AND(G25&gt;='Valeurs Règlements Nature'!$F$17,G25&lt;=M25))</f>
        <v/>
      </c>
      <c r="R25" s="46" t="str">
        <f>IF(OR($C25="",NOT(ISNUMBER(H25))),"",AND(H25&gt;='Valeurs Règlements Nature'!$F$17,H25&lt;=N25))</f>
        <v/>
      </c>
      <c r="S25" s="227" t="str">
        <f>IF(OR(NOT(ISNUMBER(E25)),NOT(ISNUMBER(F25))),"",IF(AND(E25&gt;=F25,ABS(E25-F25)&lt;='Valeurs Règlements Nature'!$F$16),"OK","Hors Fourchette"))</f>
        <v/>
      </c>
      <c r="T25" s="227"/>
      <c r="U25" s="227" t="str">
        <f>IF(OR(NOT(ISNUMBER(F25)),NOT(ISNUMBER(G25))),"",IF(AND(F25&gt;=G25,ABS(F25-G25)&lt;='Valeurs Règlements Nature'!$F$16),"OK","Hors Fourchette"))</f>
        <v/>
      </c>
      <c r="V25" s="227"/>
      <c r="W25" s="227" t="str">
        <f>IF(OR(NOT(ISNUMBER(G25)),NOT(ISNUMBER(H25))),"",IF(AND(G25&gt;=H25,ABS(G25-H25)&lt;='Valeurs Règlements Nature'!$F$16),"OK","Hors Fourchette"))</f>
        <v/>
      </c>
      <c r="X25" s="227"/>
      <c r="Y25" s="93"/>
      <c r="Z25" s="94"/>
      <c r="AA25" s="94"/>
      <c r="AB25" s="94"/>
      <c r="AC25" s="94"/>
      <c r="AD25" s="94"/>
      <c r="AE25" s="95"/>
      <c r="AF25" s="96" t="str">
        <f>IF(OR($C25="",$Y25=""),"",IF($Y25="Oui",IFERROR(VLOOKUP($C25,'Valeurs Règlements Nature'!$A$5:$Q$8,12,FALSE),""),IFERROR(VLOOKUP($C25,'Valeurs Règlements Nature'!$A$5:$Q$8,13,FALSE),"")))</f>
        <v/>
      </c>
      <c r="AG25" s="97" t="str">
        <f>IF(OR($C25="",$Y25="Oui",$Y25=""),"",IFERROR(VLOOKUP($C25,'Valeurs Règlements Nature'!$A$5:$Q$8,14,FALSE),""))</f>
        <v/>
      </c>
      <c r="AH25" s="97" t="str">
        <f>IF(OR($C25="",$Y25=""),"",IF($Y25="Oui",IFERROR(VLOOKUP($C25,'Valeurs Règlements Nature'!$A$5:$Q$8,15,FALSE),""),IFERROR(VLOOKUP($C25,'Valeurs Règlements Nature'!$A$5:$Q$8,16,FALSE),"")))</f>
        <v/>
      </c>
      <c r="AI25" s="98" t="str">
        <f>IF(OR($C25="",$Y25="Oui",$Y25=""),"",IFERROR(VLOOKUP($C25,'Valeurs Règlements Nature'!$A$5:$Q$8,17,FALSE),""))</f>
        <v/>
      </c>
      <c r="AJ25" s="90" t="str">
        <f t="shared" si="0"/>
        <v/>
      </c>
      <c r="AK25" s="91" t="str">
        <f t="shared" si="1"/>
        <v/>
      </c>
      <c r="AL25" s="92" t="str">
        <f t="shared" si="2"/>
        <v/>
      </c>
      <c r="AM25" s="111" t="str">
        <f t="shared" si="3"/>
        <v/>
      </c>
      <c r="AN25" s="112" t="str">
        <f>IF($C25="","",IFERROR(VLOOKUP($C25,'Valeurs Règlements Nature'!$A$5:$K$8,9,FALSE),""))</f>
        <v/>
      </c>
      <c r="AO25" s="113" t="str">
        <f>IF(OR($C25="",$Y25="",AJ25="",AK25="",AL25="",AM25=""),"",IF(AND(ABS(Z25-AF25)&lt;=$Y$3,IF($Y25="Oui",TRUE,ABS(AA25-AG25)&lt;=$Y$3),ABS(AB25-AH25)&lt;=$Y$3,IF($Y25="Oui",TRUE,ABS(AC25-AI25)&lt;=$Y$3),AL25&gt;=IFERROR(VLOOKUP($C25,'Valeurs Règlements Nature'!$A$5:$K$8,8,FALSE),0),AL25&lt;=AN25,AM25&gt;=IFERROR(VLOOKUP($C25,'Valeurs Règlements Nature'!$A$5:$K$8,10,FALSE),0),AM25&lt;=IFERROR(VLOOKUP($C25,'Valeurs Règlements Nature'!$A$5:$K$8,11,FALSE),999)),"CONFORME","NON CONFORME"))</f>
        <v/>
      </c>
      <c r="AP25"/>
    </row>
    <row r="26" spans="1:211" ht="20.75" customHeight="1">
      <c r="A26" s="150">
        <v>21</v>
      </c>
      <c r="B26" s="354" t="str">
        <f>IF(Organisateur!B26="","",Organisateur!B26)</f>
        <v/>
      </c>
      <c r="C26" s="355" t="str">
        <f>IF(Organisateur!C26="","",Organisateur!C26)</f>
        <v/>
      </c>
      <c r="D26" s="355"/>
      <c r="E26" s="356" t="str">
        <f>IF(Organisateur!E26="","",Organisateur!E26)</f>
        <v/>
      </c>
      <c r="F26" s="356" t="str">
        <f>IF(Organisateur!F26="","",Organisateur!F26)</f>
        <v/>
      </c>
      <c r="G26" s="356" t="str">
        <f>IF(Organisateur!G26="","",Organisateur!G26)</f>
        <v/>
      </c>
      <c r="H26" s="356" t="str">
        <f>IF(Organisateur!H26="","",Organisateur!H26)</f>
        <v/>
      </c>
      <c r="I26" s="19"/>
      <c r="J26" s="82" t="str">
        <f>IF($C26="","",IFERROR(VLOOKUP($C26,'Valeurs Règlements Nature'!$A$5:$G$8,3,FALSE),""))</f>
        <v/>
      </c>
      <c r="K26" s="83" t="str">
        <f>IF($C26="","",IFERROR(VLOOKUP($C26,'Valeurs Règlements Nature'!$A$5:$G$8,4,FALSE),""))</f>
        <v/>
      </c>
      <c r="L26" s="83" t="str">
        <f>IF($C26="","",IFERROR(VLOOKUP($C26,'Valeurs Règlements Nature'!$A$5:$G$8,5,FALSE),""))</f>
        <v/>
      </c>
      <c r="M26" s="83" t="str">
        <f>IF($C26="","",IFERROR(VLOOKUP($C26,'Valeurs Règlements Nature'!$A$5:$G$8,6,FALSE),""))</f>
        <v/>
      </c>
      <c r="N26" s="161" t="str">
        <f>IF($C26="","",IFERROR(VLOOKUP($C26,'Valeurs Règlements Nature'!$A$5:$G$8,7,FALSE),""))</f>
        <v/>
      </c>
      <c r="O26" s="47" t="str">
        <f t="shared" si="4"/>
        <v/>
      </c>
      <c r="P26" s="48" t="str">
        <f>IF(OR($C26="",NOT(ISNUMBER(F26))),"",AND(F26&gt;='Valeurs Règlements Nature'!$F$17,F26&lt;=L26))</f>
        <v/>
      </c>
      <c r="Q26" s="48" t="str">
        <f>IF(OR($C26="",NOT(ISNUMBER(G26))),"",AND(G26&gt;='Valeurs Règlements Nature'!$F$17,G26&lt;=M26))</f>
        <v/>
      </c>
      <c r="R26" s="49" t="str">
        <f>IF(OR($C26="",NOT(ISNUMBER(H26))),"",AND(H26&gt;='Valeurs Règlements Nature'!$F$17,H26&lt;=N26))</f>
        <v/>
      </c>
      <c r="S26" s="237" t="str">
        <f>IF(OR(NOT(ISNUMBER(E26)),NOT(ISNUMBER(F26))),"",IF(AND(E26&gt;=F26,ABS(E26-F26)&lt;='Valeurs Règlements Nature'!$F$16),"OK","Hors Fourchette"))</f>
        <v/>
      </c>
      <c r="T26" s="237"/>
      <c r="U26" s="237" t="str">
        <f>IF(OR(NOT(ISNUMBER(F26)),NOT(ISNUMBER(G26))),"",IF(AND(F26&gt;=G26,ABS(F26-G26)&lt;='Valeurs Règlements Nature'!$F$16),"OK","Hors Fourchette"))</f>
        <v/>
      </c>
      <c r="V26" s="237"/>
      <c r="W26" s="237" t="str">
        <f>IF(OR(NOT(ISNUMBER(G26)),NOT(ISNUMBER(H26))),"",IF(AND(G26&gt;=H26,ABS(G26-H26)&lt;='Valeurs Règlements Nature'!$F$16),"OK","Hors Fourchette"))</f>
        <v/>
      </c>
      <c r="X26" s="237"/>
      <c r="Y26" s="99"/>
      <c r="Z26" s="100"/>
      <c r="AA26" s="100"/>
      <c r="AB26" s="100"/>
      <c r="AC26" s="100"/>
      <c r="AD26" s="100"/>
      <c r="AE26" s="101"/>
      <c r="AF26" s="102" t="str">
        <f>IF(OR($C26="",$Y26=""),"",IF($Y26="Oui",IFERROR(VLOOKUP($C26,'Valeurs Règlements Nature'!$A$5:$Q$8,12,FALSE),""),IFERROR(VLOOKUP($C26,'Valeurs Règlements Nature'!$A$5:$Q$8,13,FALSE),"")))</f>
        <v/>
      </c>
      <c r="AG26" s="103" t="str">
        <f>IF(OR($C26="",$Y26="Oui",$Y26=""),"",IFERROR(VLOOKUP($C26,'Valeurs Règlements Nature'!$A$5:$Q$8,14,FALSE),""))</f>
        <v/>
      </c>
      <c r="AH26" s="103" t="str">
        <f>IF(OR($C26="",$Y26=""),"",IF($Y26="Oui",IFERROR(VLOOKUP($C26,'Valeurs Règlements Nature'!$A$5:$Q$8,15,FALSE),""),IFERROR(VLOOKUP($C26,'Valeurs Règlements Nature'!$A$5:$Q$8,16,FALSE),"")))</f>
        <v/>
      </c>
      <c r="AI26" s="104" t="str">
        <f>IF(OR($C26="",$Y26="Oui",$Y26=""),"",IFERROR(VLOOKUP($C26,'Valeurs Règlements Nature'!$A$5:$Q$8,17,FALSE),""))</f>
        <v/>
      </c>
      <c r="AJ26" s="105" t="str">
        <f t="shared" si="0"/>
        <v/>
      </c>
      <c r="AK26" s="106" t="str">
        <f t="shared" si="1"/>
        <v/>
      </c>
      <c r="AL26" s="107" t="str">
        <f t="shared" si="2"/>
        <v/>
      </c>
      <c r="AM26" s="114" t="str">
        <f t="shared" si="3"/>
        <v/>
      </c>
      <c r="AN26" s="115" t="str">
        <f>IF($C26="","",IFERROR(VLOOKUP($C26,'Valeurs Règlements Nature'!$A$5:$K$8,9,FALSE),""))</f>
        <v/>
      </c>
      <c r="AO26" s="116" t="str">
        <f>IF(OR($C26="",$Y26="",AJ26="",AK26="",AL26="",AM26=""),"",IF(AND(ABS(Z26-AF26)&lt;=$Y$3,IF($Y26="Oui",TRUE,ABS(AA26-AG26)&lt;=$Y$3),ABS(AB26-AH26)&lt;=$Y$3,IF($Y26="Oui",TRUE,ABS(AC26-AI26)&lt;=$Y$3),AL26&gt;=IFERROR(VLOOKUP($C26,'Valeurs Règlements Nature'!$A$5:$K$8,8,FALSE),0),AL26&lt;=AN26,AM26&gt;=IFERROR(VLOOKUP($C26,'Valeurs Règlements Nature'!$A$5:$K$8,10,FALSE),0),AM26&lt;=IFERROR(VLOOKUP($C26,'Valeurs Règlements Nature'!$A$5:$K$8,11,FALSE),999)),"CONFORME","NON CONFORME"))</f>
        <v/>
      </c>
      <c r="AP26"/>
    </row>
    <row r="27" spans="1:211" ht="19.75" customHeight="1">
      <c r="A27" s="21"/>
      <c r="B27" s="22"/>
      <c r="C27" s="21"/>
      <c r="E27" s="16"/>
      <c r="F27" s="16"/>
      <c r="G27" s="16"/>
      <c r="H27" s="16"/>
      <c r="I27" s="20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</row>
    <row r="28" spans="1:211" ht="27" customHeight="1">
      <c r="A28" s="21"/>
      <c r="B28" s="26" t="s">
        <v>14</v>
      </c>
      <c r="C28" s="27" t="s">
        <v>15</v>
      </c>
      <c r="D28" s="36" t="s">
        <v>16</v>
      </c>
      <c r="E28" s="37" t="s">
        <v>17</v>
      </c>
      <c r="F28" s="38" t="s">
        <v>17</v>
      </c>
      <c r="G28" s="39" t="s">
        <v>17</v>
      </c>
      <c r="H28" s="187" t="s">
        <v>17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</row>
    <row r="29" spans="1:211" ht="27.25" customHeight="1">
      <c r="A29" s="23" t="str">
        <f>'Valeurs Règlements Nature'!A5</f>
        <v>Petit Animal</v>
      </c>
      <c r="B29" s="30">
        <f>'Valeurs Règlements Nature'!B5</f>
        <v>4</v>
      </c>
      <c r="C29" s="33">
        <f>COUNTIF($C6:$C26,A29)</f>
        <v>0</v>
      </c>
      <c r="D29" s="41" t="str">
        <f>IF(C29=B29,"ok","incorrect")</f>
        <v>incorrect</v>
      </c>
      <c r="E29" s="67" t="str">
        <f t="shared" ref="E29:H32" si="5">IFERROR(AVERAGEIF($C$6:$C$26,$A29,E$6:E$26),"")</f>
        <v/>
      </c>
      <c r="F29" s="68" t="str">
        <f t="shared" si="5"/>
        <v/>
      </c>
      <c r="G29" s="69" t="str">
        <f t="shared" si="5"/>
        <v/>
      </c>
      <c r="H29" s="185" t="str">
        <f t="shared" si="5"/>
        <v/>
      </c>
      <c r="J29" s="12"/>
      <c r="K29" s="12"/>
      <c r="L29" s="12"/>
      <c r="M29" s="12"/>
      <c r="N29" s="12"/>
      <c r="O29" s="12"/>
      <c r="P29" s="12"/>
      <c r="Q29" s="12"/>
      <c r="R29" s="12"/>
      <c r="S29" s="263" t="s">
        <v>36</v>
      </c>
      <c r="T29" s="264"/>
      <c r="U29" s="264"/>
      <c r="V29" s="264"/>
      <c r="W29" s="264"/>
      <c r="X29" s="264"/>
      <c r="Y29" s="264"/>
      <c r="Z29" s="265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</row>
    <row r="30" spans="1:211" ht="20.75" customHeight="1">
      <c r="A30" s="24" t="str">
        <f>'Valeurs Règlements Nature'!A6</f>
        <v>Petit Gibier</v>
      </c>
      <c r="B30" s="31">
        <f>'Valeurs Règlements Nature'!B6</f>
        <v>6</v>
      </c>
      <c r="C30" s="34">
        <f>COUNTIF($C6:$C26,A30)</f>
        <v>0</v>
      </c>
      <c r="D30" s="42" t="str">
        <f>IF(C30=B30,"ok","incorrect")</f>
        <v>incorrect</v>
      </c>
      <c r="E30" s="67" t="str">
        <f t="shared" si="5"/>
        <v/>
      </c>
      <c r="F30" s="68" t="str">
        <f t="shared" si="5"/>
        <v/>
      </c>
      <c r="G30" s="69" t="str">
        <f t="shared" si="5"/>
        <v/>
      </c>
      <c r="H30" s="185" t="str">
        <f t="shared" si="5"/>
        <v/>
      </c>
      <c r="J30" s="12"/>
      <c r="K30" s="12"/>
      <c r="L30" s="12"/>
      <c r="M30" s="12"/>
      <c r="N30" s="12"/>
      <c r="O30" s="12"/>
      <c r="P30" s="12"/>
      <c r="Q30" s="12"/>
      <c r="R30" s="12"/>
      <c r="S30" s="266"/>
      <c r="T30" s="232"/>
      <c r="U30" s="232"/>
      <c r="V30" s="232"/>
      <c r="W30" s="232"/>
      <c r="X30" s="232"/>
      <c r="Y30" s="232"/>
      <c r="Z30" s="267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</row>
    <row r="31" spans="1:211" ht="20.75" customHeight="1">
      <c r="A31" s="24" t="str">
        <f>'Valeurs Règlements Nature'!A7</f>
        <v>Moyen Gibier</v>
      </c>
      <c r="B31" s="31">
        <f>'Valeurs Règlements Nature'!B7</f>
        <v>7</v>
      </c>
      <c r="C31" s="34">
        <f>COUNTIF($C6:$C26,A31)</f>
        <v>0</v>
      </c>
      <c r="D31" s="42" t="str">
        <f>IF(C31=B31,"ok","incorrect")</f>
        <v>incorrect</v>
      </c>
      <c r="E31" s="67" t="str">
        <f t="shared" si="5"/>
        <v/>
      </c>
      <c r="F31" s="68" t="str">
        <f t="shared" si="5"/>
        <v/>
      </c>
      <c r="G31" s="69" t="str">
        <f t="shared" si="5"/>
        <v/>
      </c>
      <c r="H31" s="185" t="str">
        <f t="shared" si="5"/>
        <v/>
      </c>
      <c r="J31" s="12"/>
      <c r="K31" s="12"/>
      <c r="L31" s="12"/>
      <c r="M31" s="12"/>
      <c r="N31" s="12"/>
      <c r="O31" s="12"/>
      <c r="P31" s="12"/>
      <c r="Q31" s="12"/>
      <c r="R31" s="12"/>
      <c r="S31" s="268"/>
      <c r="T31" s="269"/>
      <c r="U31" s="269"/>
      <c r="V31" s="269"/>
      <c r="W31" s="269"/>
      <c r="X31" s="269"/>
      <c r="Y31" s="269"/>
      <c r="Z31" s="270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</row>
    <row r="32" spans="1:211" ht="20.75" customHeight="1">
      <c r="A32" s="25" t="str">
        <f>'Valeurs Règlements Nature'!A8</f>
        <v>Grand Gibier</v>
      </c>
      <c r="B32" s="32">
        <f>'Valeurs Règlements Nature'!B8</f>
        <v>4</v>
      </c>
      <c r="C32" s="35">
        <f>COUNTIF($C6:$C26,A32)</f>
        <v>0</v>
      </c>
      <c r="D32" s="43" t="str">
        <f>IF(C32=B32,"ok","incorrect")</f>
        <v>incorrect</v>
      </c>
      <c r="E32" s="70" t="str">
        <f t="shared" si="5"/>
        <v/>
      </c>
      <c r="F32" s="71" t="str">
        <f t="shared" si="5"/>
        <v/>
      </c>
      <c r="G32" s="72" t="str">
        <f t="shared" si="5"/>
        <v/>
      </c>
      <c r="H32" s="186" t="str">
        <f t="shared" si="5"/>
        <v/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</row>
    <row r="33" spans="1:211" ht="20.75" customHeight="1">
      <c r="A33" s="29"/>
      <c r="B33" s="28">
        <f>SUM(B29:B32)</f>
        <v>21</v>
      </c>
      <c r="C33" s="12"/>
      <c r="E33" s="37" t="s">
        <v>19</v>
      </c>
      <c r="F33" s="38" t="s">
        <v>19</v>
      </c>
      <c r="G33" s="39" t="s">
        <v>19</v>
      </c>
      <c r="H33" s="187" t="s">
        <v>19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</row>
    <row r="34" spans="1:211" ht="20" customHeight="1">
      <c r="C34"/>
      <c r="E34" s="73">
        <f>SUM(E6:E26)</f>
        <v>0</v>
      </c>
      <c r="F34" s="74">
        <f t="shared" ref="F34:H34" si="6">SUM(F6:F26)</f>
        <v>0</v>
      </c>
      <c r="G34" s="75">
        <f t="shared" si="6"/>
        <v>0</v>
      </c>
      <c r="H34" s="188">
        <f t="shared" si="6"/>
        <v>0</v>
      </c>
    </row>
    <row r="35" spans="1:211" ht="20" customHeight="1">
      <c r="B35" s="189" t="s">
        <v>20</v>
      </c>
      <c r="C35" s="65">
        <f>'Valeurs Règlements Nature'!C10</f>
        <v>525</v>
      </c>
      <c r="D35" s="66">
        <f>'Valeurs Règlements Nature'!D10</f>
        <v>550</v>
      </c>
      <c r="E35" s="40" t="str">
        <f>IF(COUNT(E6:E26)=0,"",IF(AND(COUNT(E6:E26)=21,E34&gt;=C35,E34&lt;=D35),"ok",IF(COUNT(E6:E26)&lt;21,"incorrect","hors fourchette")))</f>
        <v/>
      </c>
    </row>
  </sheetData>
  <sheetProtection sheet="1" objects="1" scenarios="1"/>
  <mergeCells count="109">
    <mergeCell ref="W21:X21"/>
    <mergeCell ref="U16:V16"/>
    <mergeCell ref="W16:X16"/>
    <mergeCell ref="U17:V17"/>
    <mergeCell ref="W5:X5"/>
    <mergeCell ref="U25:V25"/>
    <mergeCell ref="W25:X25"/>
    <mergeCell ref="U26:V26"/>
    <mergeCell ref="W26:X26"/>
    <mergeCell ref="U22:V22"/>
    <mergeCell ref="W22:X22"/>
    <mergeCell ref="U23:V23"/>
    <mergeCell ref="W23:X23"/>
    <mergeCell ref="U24:V24"/>
    <mergeCell ref="W24:X24"/>
    <mergeCell ref="U19:V19"/>
    <mergeCell ref="W19:X19"/>
    <mergeCell ref="U20:V20"/>
    <mergeCell ref="W20:X20"/>
    <mergeCell ref="U21:V21"/>
    <mergeCell ref="W17:X17"/>
    <mergeCell ref="U18:V18"/>
    <mergeCell ref="W18:X18"/>
    <mergeCell ref="U13:V13"/>
    <mergeCell ref="W13:X13"/>
    <mergeCell ref="U14:V14"/>
    <mergeCell ref="W14:X14"/>
    <mergeCell ref="U15:V15"/>
    <mergeCell ref="W15:X15"/>
    <mergeCell ref="U7:V7"/>
    <mergeCell ref="W7:X7"/>
    <mergeCell ref="U8:V8"/>
    <mergeCell ref="W8:X8"/>
    <mergeCell ref="U9:V9"/>
    <mergeCell ref="W9:X9"/>
    <mergeCell ref="U10:V10"/>
    <mergeCell ref="W10:X10"/>
    <mergeCell ref="U11:V11"/>
    <mergeCell ref="W11:X11"/>
    <mergeCell ref="U12:V12"/>
    <mergeCell ref="W12:X12"/>
    <mergeCell ref="Y1:AO1"/>
    <mergeCell ref="Z2:AE2"/>
    <mergeCell ref="AM2:AO3"/>
    <mergeCell ref="S23:T23"/>
    <mergeCell ref="S24:T24"/>
    <mergeCell ref="Z3:AA3"/>
    <mergeCell ref="AB3:AC3"/>
    <mergeCell ref="AF2:AG3"/>
    <mergeCell ref="AH2:AI3"/>
    <mergeCell ref="AD3:AE3"/>
    <mergeCell ref="AJ2:AL2"/>
    <mergeCell ref="AJ3:AJ4"/>
    <mergeCell ref="AK3:AK4"/>
    <mergeCell ref="AL3:AL4"/>
    <mergeCell ref="U6:V6"/>
    <mergeCell ref="W6:X6"/>
    <mergeCell ref="S25:T25"/>
    <mergeCell ref="S18:T18"/>
    <mergeCell ref="S19:T19"/>
    <mergeCell ref="S20:T20"/>
    <mergeCell ref="S21:T21"/>
    <mergeCell ref="S22:T22"/>
    <mergeCell ref="C23:D23"/>
    <mergeCell ref="C24:D24"/>
    <mergeCell ref="C25:D25"/>
    <mergeCell ref="C16:D16"/>
    <mergeCell ref="C17:D17"/>
    <mergeCell ref="C18:D18"/>
    <mergeCell ref="C19:D19"/>
    <mergeCell ref="C20:D20"/>
    <mergeCell ref="C22:D22"/>
    <mergeCell ref="S16:T16"/>
    <mergeCell ref="S17:T17"/>
    <mergeCell ref="E2:H3"/>
    <mergeCell ref="A1:S1"/>
    <mergeCell ref="C21:D21"/>
    <mergeCell ref="C12:D12"/>
    <mergeCell ref="C13:D13"/>
    <mergeCell ref="C14:D14"/>
    <mergeCell ref="C15:D15"/>
    <mergeCell ref="S6:T6"/>
    <mergeCell ref="S7:T7"/>
    <mergeCell ref="S8:T8"/>
    <mergeCell ref="J2:N2"/>
    <mergeCell ref="O2:R3"/>
    <mergeCell ref="S2:X3"/>
    <mergeCell ref="U5:V5"/>
    <mergeCell ref="S11:T11"/>
    <mergeCell ref="S12:T12"/>
    <mergeCell ref="S13:T13"/>
    <mergeCell ref="S14:T14"/>
    <mergeCell ref="S15:T15"/>
    <mergeCell ref="S29:Z31"/>
    <mergeCell ref="C5:D5"/>
    <mergeCell ref="S5:T5"/>
    <mergeCell ref="A2:A4"/>
    <mergeCell ref="B2:B4"/>
    <mergeCell ref="C2:D4"/>
    <mergeCell ref="C6:D6"/>
    <mergeCell ref="C7:D7"/>
    <mergeCell ref="C8:D8"/>
    <mergeCell ref="C9:D9"/>
    <mergeCell ref="C10:D10"/>
    <mergeCell ref="C11:D11"/>
    <mergeCell ref="C26:D26"/>
    <mergeCell ref="S26:T26"/>
    <mergeCell ref="S9:T9"/>
    <mergeCell ref="S10:T10"/>
  </mergeCells>
  <conditionalFormatting sqref="O5:R26">
    <cfRule type="containsText" dxfId="14" priority="15" stopIfTrue="1" operator="containsText" text="VRAI">
      <formula>NOT(ISERROR(SEARCH("VRAI",O5)))</formula>
    </cfRule>
  </conditionalFormatting>
  <conditionalFormatting sqref="Z5:Z26">
    <cfRule type="expression" dxfId="13" priority="26">
      <formula>IF(Z5&gt;0,$Z5&gt;$AF5+$Y$3," ")</formula>
    </cfRule>
    <cfRule type="expression" dxfId="12" priority="27">
      <formula>$Z5&lt;$AF5-$Y$3</formula>
    </cfRule>
  </conditionalFormatting>
  <conditionalFormatting sqref="AA5:AA26">
    <cfRule type="expression" dxfId="11" priority="33">
      <formula>$Y5="Oui"</formula>
    </cfRule>
  </conditionalFormatting>
  <conditionalFormatting sqref="AC5:AC26">
    <cfRule type="expression" dxfId="10" priority="32">
      <formula>$Y5="Oui"</formula>
    </cfRule>
  </conditionalFormatting>
  <conditionalFormatting sqref="AE5:AE26">
    <cfRule type="expression" dxfId="9" priority="31">
      <formula>$Y5="Oui"</formula>
    </cfRule>
  </conditionalFormatting>
  <conditionalFormatting sqref="AG5:AG26">
    <cfRule type="expression" dxfId="8" priority="30">
      <formula>$Y5="Oui"</formula>
    </cfRule>
  </conditionalFormatting>
  <conditionalFormatting sqref="AI5:AI26">
    <cfRule type="expression" dxfId="7" priority="29">
      <formula>$Y5="Oui"</formula>
    </cfRule>
  </conditionalFormatting>
  <conditionalFormatting sqref="AM5:AM25">
    <cfRule type="expression" dxfId="6" priority="25" stopIfTrue="1">
      <formula>$AM$5&gt;=$AN$5</formula>
    </cfRule>
  </conditionalFormatting>
  <conditionalFormatting sqref="AO5:AO26">
    <cfRule type="expression" dxfId="5" priority="34">
      <formula>AO5="CONFORME"</formula>
    </cfRule>
    <cfRule type="expression" dxfId="4" priority="35">
      <formula>AO5="NON CONFORME"</formula>
    </cfRule>
  </conditionalFormatting>
  <conditionalFormatting sqref="O5:X5">
    <cfRule type="containsText" dxfId="1" priority="3" operator="containsText" text="Faux">
      <formula>NOT(ISERROR(SEARCH("Faux",O5)))</formula>
    </cfRule>
    <cfRule type="containsText" dxfId="0" priority="5" operator="containsText" text="OK">
      <formula>NOT(ISERROR(SEARCH("OK",O5)))</formula>
    </cfRule>
  </conditionalFormatting>
  <dataValidations count="3">
    <dataValidation type="list" allowBlank="1" showErrorMessage="1" sqref="I6" xr:uid="{00000000-0002-0000-0100-000000000000}">
      <formula1>$A$5:$A$8</formula1>
    </dataValidation>
    <dataValidation type="list" showInputMessage="1" showErrorMessage="1" sqref="I7:I26" xr:uid="{00000000-0002-0000-0100-000001000000}">
      <formula1>$A$5:$A$8</formula1>
    </dataValidation>
    <dataValidation type="list" allowBlank="1" showInputMessage="1" showErrorMessage="1" sqref="C6:D26" xr:uid="{00000000-0002-0000-0100-000002000000}">
      <formula1>$A$29:$A$32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0C5C05B-5F35-2245-B949-58380070435B}">
            <xm:f>OR(B6=" ",Organisateur!B6=B6)</xm:f>
            <x14:dxf>
              <font>
                <strike val="0"/>
                <color theme="3" tint="0.79998168889431442"/>
              </font>
              <fill>
                <patternFill>
                  <bgColor theme="0" tint="-0.499984740745262"/>
                </patternFill>
              </fill>
            </x14:dxf>
          </x14:cfRule>
          <x14:cfRule type="expression" priority="1" id="{EF7D2D86-442D-884E-8A04-408DAE9CD3CC}">
            <xm:f>AND(B6&lt;&gt;" ",B6&lt;&gt;Organisateur!B6)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B6:H26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7"/>
  <sheetViews>
    <sheetView showGridLines="0" workbookViewId="0">
      <selection activeCell="F31" sqref="F31"/>
    </sheetView>
  </sheetViews>
  <sheetFormatPr baseColWidth="10" defaultColWidth="16.33203125" defaultRowHeight="13"/>
  <cols>
    <col min="1" max="1" width="16.33203125" style="1" customWidth="1"/>
    <col min="2" max="2" width="19.6640625" style="1" customWidth="1"/>
    <col min="3" max="3" width="15.1640625" style="1" customWidth="1"/>
    <col min="4" max="4" width="10.5" style="1" customWidth="1"/>
    <col min="5" max="5" width="8.83203125" style="1" customWidth="1"/>
    <col min="6" max="7" width="9.6640625" style="1" customWidth="1"/>
    <col min="8" max="8" width="9.5" style="1" customWidth="1"/>
    <col min="9" max="9" width="11.83203125" style="1" customWidth="1"/>
    <col min="10" max="10" width="5.1640625" style="1" customWidth="1"/>
    <col min="11" max="11" width="5.5" style="1" customWidth="1"/>
    <col min="12" max="12" width="11.5" style="1" customWidth="1"/>
    <col min="13" max="14" width="7.5" style="1" customWidth="1"/>
    <col min="15" max="15" width="11.5" style="1" customWidth="1"/>
    <col min="16" max="17" width="7.5" style="1" customWidth="1"/>
    <col min="18" max="16384" width="16.33203125" style="1"/>
  </cols>
  <sheetData>
    <row r="1" spans="1:21" ht="20" customHeight="1">
      <c r="A1" s="303" t="s">
        <v>37</v>
      </c>
      <c r="B1" s="303"/>
      <c r="C1" s="206">
        <v>46265</v>
      </c>
      <c r="F1" s="12"/>
      <c r="G1" s="12"/>
      <c r="H1" s="309" t="s">
        <v>38</v>
      </c>
      <c r="I1" s="309"/>
      <c r="J1" s="309"/>
      <c r="K1" s="309"/>
      <c r="L1" s="308" t="s">
        <v>39</v>
      </c>
      <c r="M1" s="308"/>
      <c r="N1" s="308"/>
      <c r="O1" s="308"/>
      <c r="P1" s="308"/>
      <c r="Q1" s="308"/>
    </row>
    <row r="2" spans="1:21" ht="16">
      <c r="A2" s="304" t="s">
        <v>40</v>
      </c>
      <c r="B2" s="304"/>
      <c r="C2" s="304"/>
      <c r="D2" s="304"/>
      <c r="E2" s="304"/>
      <c r="F2" s="305"/>
      <c r="G2" s="153"/>
      <c r="H2" s="310" t="s">
        <v>41</v>
      </c>
      <c r="I2" s="310" t="s">
        <v>42</v>
      </c>
      <c r="J2" s="309" t="s">
        <v>43</v>
      </c>
      <c r="K2" s="309"/>
      <c r="L2" s="315" t="s">
        <v>44</v>
      </c>
      <c r="M2" s="310"/>
      <c r="N2" s="310"/>
      <c r="O2" s="309" t="s">
        <v>45</v>
      </c>
      <c r="P2" s="309"/>
      <c r="Q2" s="309"/>
    </row>
    <row r="3" spans="1:21" ht="15" customHeight="1">
      <c r="A3" s="53" t="s">
        <v>46</v>
      </c>
      <c r="B3" s="2"/>
      <c r="C3" s="306" t="s">
        <v>47</v>
      </c>
      <c r="D3" s="307"/>
      <c r="E3" s="52" t="s">
        <v>48</v>
      </c>
      <c r="F3" s="126" t="s">
        <v>49</v>
      </c>
      <c r="G3" s="173" t="s">
        <v>50</v>
      </c>
      <c r="H3" s="310"/>
      <c r="I3" s="310"/>
      <c r="J3" s="309"/>
      <c r="K3" s="309"/>
      <c r="L3" s="313" t="s">
        <v>51</v>
      </c>
      <c r="M3" s="311" t="s">
        <v>52</v>
      </c>
      <c r="N3" s="311"/>
      <c r="O3" s="312" t="s">
        <v>51</v>
      </c>
      <c r="P3" s="311" t="s">
        <v>52</v>
      </c>
      <c r="Q3" s="311"/>
      <c r="R3" s="12"/>
      <c r="S3" s="12"/>
      <c r="T3" s="12"/>
      <c r="U3" s="12"/>
    </row>
    <row r="4" spans="1:21" ht="15" customHeight="1">
      <c r="A4" s="3" t="s">
        <v>53</v>
      </c>
      <c r="B4" s="4" t="s">
        <v>54</v>
      </c>
      <c r="C4" s="5" t="s">
        <v>41</v>
      </c>
      <c r="D4" s="5" t="s">
        <v>42</v>
      </c>
      <c r="E4" s="5" t="s">
        <v>42</v>
      </c>
      <c r="F4" s="127" t="s">
        <v>42</v>
      </c>
      <c r="G4" s="127" t="s">
        <v>42</v>
      </c>
      <c r="H4" s="310"/>
      <c r="I4" s="310"/>
      <c r="J4" s="130" t="s">
        <v>41</v>
      </c>
      <c r="K4" s="130" t="s">
        <v>42</v>
      </c>
      <c r="L4" s="314"/>
      <c r="M4" s="122" t="s">
        <v>34</v>
      </c>
      <c r="N4" s="122" t="s">
        <v>35</v>
      </c>
      <c r="O4" s="311"/>
      <c r="P4" s="122" t="s">
        <v>34</v>
      </c>
      <c r="Q4" s="122" t="s">
        <v>35</v>
      </c>
      <c r="R4" s="12"/>
      <c r="S4" s="12"/>
      <c r="T4" s="12"/>
      <c r="U4" s="12"/>
    </row>
    <row r="5" spans="1:21" ht="14.75" customHeight="1">
      <c r="A5" s="6" t="s">
        <v>13</v>
      </c>
      <c r="B5" s="7">
        <v>4</v>
      </c>
      <c r="C5" s="117">
        <v>5</v>
      </c>
      <c r="D5" s="117">
        <v>15</v>
      </c>
      <c r="E5" s="118">
        <v>15</v>
      </c>
      <c r="F5" s="119">
        <v>15</v>
      </c>
      <c r="G5" s="174">
        <v>10</v>
      </c>
      <c r="H5" s="128">
        <v>176</v>
      </c>
      <c r="I5" s="128">
        <v>660</v>
      </c>
      <c r="J5" s="129">
        <v>4</v>
      </c>
      <c r="K5" s="129">
        <v>15</v>
      </c>
      <c r="L5" s="123">
        <v>7.5</v>
      </c>
      <c r="M5" s="123">
        <v>6</v>
      </c>
      <c r="N5" s="123">
        <v>9.5</v>
      </c>
      <c r="O5" s="123">
        <v>7.5</v>
      </c>
      <c r="P5" s="123">
        <v>6</v>
      </c>
      <c r="Q5" s="123">
        <v>9.5</v>
      </c>
      <c r="R5" s="12"/>
      <c r="S5" s="12"/>
      <c r="T5" s="12"/>
      <c r="U5" s="12"/>
    </row>
    <row r="6" spans="1:21" ht="14.75" customHeight="1">
      <c r="A6" s="134" t="s">
        <v>55</v>
      </c>
      <c r="B6" s="7">
        <v>6</v>
      </c>
      <c r="C6" s="117">
        <v>15</v>
      </c>
      <c r="D6" s="117">
        <v>25</v>
      </c>
      <c r="E6" s="118">
        <v>20</v>
      </c>
      <c r="F6" s="119">
        <v>15</v>
      </c>
      <c r="G6" s="174">
        <v>10</v>
      </c>
      <c r="H6" s="124">
        <v>704</v>
      </c>
      <c r="I6" s="124">
        <v>1584</v>
      </c>
      <c r="J6" s="121">
        <v>4</v>
      </c>
      <c r="K6" s="121">
        <v>9</v>
      </c>
      <c r="L6" s="123">
        <v>7.5</v>
      </c>
      <c r="M6" s="123">
        <v>6</v>
      </c>
      <c r="N6" s="123">
        <v>9.5</v>
      </c>
      <c r="O6" s="123">
        <v>15</v>
      </c>
      <c r="P6" s="123">
        <v>11.5</v>
      </c>
      <c r="Q6" s="123">
        <v>18</v>
      </c>
    </row>
    <row r="7" spans="1:21" ht="14.75" customHeight="1">
      <c r="A7" s="134" t="s">
        <v>56</v>
      </c>
      <c r="B7" s="7">
        <v>7</v>
      </c>
      <c r="C7" s="117">
        <v>20</v>
      </c>
      <c r="D7" s="117">
        <v>35</v>
      </c>
      <c r="E7" s="118">
        <v>30</v>
      </c>
      <c r="F7" s="119">
        <v>25</v>
      </c>
      <c r="G7" s="174">
        <v>15</v>
      </c>
      <c r="H7" s="124">
        <v>1590</v>
      </c>
      <c r="I7" s="124">
        <v>3582</v>
      </c>
      <c r="J7" s="121">
        <v>4</v>
      </c>
      <c r="K7" s="121">
        <v>9</v>
      </c>
      <c r="L7" s="123">
        <v>15</v>
      </c>
      <c r="M7" s="123">
        <v>11.5</v>
      </c>
      <c r="N7" s="123">
        <v>18</v>
      </c>
      <c r="O7" s="123">
        <v>22.5</v>
      </c>
      <c r="P7" s="123">
        <v>18</v>
      </c>
      <c r="Q7" s="123">
        <v>27.5</v>
      </c>
    </row>
    <row r="8" spans="1:21" ht="14.75" customHeight="1">
      <c r="A8" s="134" t="s">
        <v>57</v>
      </c>
      <c r="B8" s="7">
        <v>4</v>
      </c>
      <c r="C8" s="117">
        <v>30</v>
      </c>
      <c r="D8" s="117">
        <v>40</v>
      </c>
      <c r="E8" s="118">
        <v>35</v>
      </c>
      <c r="F8" s="119">
        <v>30</v>
      </c>
      <c r="G8" s="174">
        <v>20</v>
      </c>
      <c r="H8" s="125">
        <v>2828</v>
      </c>
      <c r="I8" s="135">
        <v>7777</v>
      </c>
      <c r="J8" s="136">
        <v>4</v>
      </c>
      <c r="K8" s="136">
        <v>11</v>
      </c>
      <c r="L8" s="123">
        <v>15</v>
      </c>
      <c r="M8" s="123">
        <v>11.5</v>
      </c>
      <c r="N8" s="123">
        <v>18</v>
      </c>
      <c r="O8" s="123">
        <v>30</v>
      </c>
      <c r="P8" s="123">
        <v>22.5</v>
      </c>
      <c r="Q8" s="123">
        <v>36</v>
      </c>
    </row>
    <row r="9" spans="1:21" ht="14.75" customHeight="1">
      <c r="A9" s="8"/>
      <c r="B9" s="9">
        <f>SUM(B5:B8)</f>
        <v>21</v>
      </c>
      <c r="C9" s="10"/>
      <c r="D9" s="10"/>
      <c r="E9" s="10"/>
      <c r="F9" s="10"/>
      <c r="G9" s="172"/>
    </row>
    <row r="10" spans="1:21" ht="14.75" customHeight="1">
      <c r="A10" s="11" t="s">
        <v>58</v>
      </c>
      <c r="B10" s="6" t="s">
        <v>59</v>
      </c>
      <c r="C10" s="120">
        <v>525</v>
      </c>
      <c r="D10" s="120">
        <v>550</v>
      </c>
      <c r="E10" s="10"/>
      <c r="F10" s="10"/>
      <c r="G10" s="172"/>
    </row>
    <row r="11" spans="1:21" ht="13.5" customHeight="1"/>
    <row r="12" spans="1:21" ht="14.75" customHeight="1">
      <c r="A12" s="54" t="s">
        <v>60</v>
      </c>
    </row>
    <row r="13" spans="1:21" ht="20" customHeight="1">
      <c r="A13" s="54" t="s">
        <v>61</v>
      </c>
    </row>
    <row r="15" spans="1:21" ht="20" customHeight="1">
      <c r="B15" s="302" t="s">
        <v>62</v>
      </c>
      <c r="C15" s="302"/>
      <c r="D15" s="131">
        <v>4</v>
      </c>
      <c r="E15" s="132" t="s">
        <v>63</v>
      </c>
      <c r="F15" s="131">
        <v>10</v>
      </c>
      <c r="G15" s="131"/>
      <c r="H15" s="302" t="s">
        <v>64</v>
      </c>
      <c r="I15" s="302"/>
    </row>
    <row r="16" spans="1:21" ht="20" customHeight="1">
      <c r="B16" s="302" t="s">
        <v>65</v>
      </c>
      <c r="C16" s="302"/>
      <c r="D16" s="302"/>
      <c r="E16" s="302"/>
      <c r="F16" s="131">
        <v>7</v>
      </c>
      <c r="G16" s="131"/>
      <c r="H16" s="133"/>
      <c r="I16" s="133"/>
    </row>
    <row r="17" spans="2:9" ht="20" customHeight="1">
      <c r="B17" s="302" t="s">
        <v>66</v>
      </c>
      <c r="C17" s="302"/>
      <c r="D17" s="302"/>
      <c r="E17" s="302"/>
      <c r="F17" s="131">
        <v>5</v>
      </c>
      <c r="G17" s="131"/>
      <c r="H17" s="133"/>
      <c r="I17" s="133"/>
    </row>
  </sheetData>
  <sheetProtection sheet="1" objects="1" scenarios="1"/>
  <mergeCells count="18">
    <mergeCell ref="L1:Q1"/>
    <mergeCell ref="H1:K1"/>
    <mergeCell ref="H2:H4"/>
    <mergeCell ref="I2:I4"/>
    <mergeCell ref="J2:K3"/>
    <mergeCell ref="M3:N3"/>
    <mergeCell ref="P3:Q3"/>
    <mergeCell ref="O3:O4"/>
    <mergeCell ref="L3:L4"/>
    <mergeCell ref="L2:N2"/>
    <mergeCell ref="O2:Q2"/>
    <mergeCell ref="H15:I15"/>
    <mergeCell ref="A1:B1"/>
    <mergeCell ref="B15:C15"/>
    <mergeCell ref="B17:E17"/>
    <mergeCell ref="B16:E16"/>
    <mergeCell ref="A2:F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Organisateur</vt:lpstr>
      <vt:lpstr>Synthèse conformité</vt:lpstr>
      <vt:lpstr>Arbitre</vt:lpstr>
      <vt:lpstr>Valeurs Règlements 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Frédéric Desplats</cp:lastModifiedBy>
  <dcterms:modified xsi:type="dcterms:W3CDTF">2026-10-06T11:22:42Z</dcterms:modified>
</cp:coreProperties>
</file>